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kcouncil-my.sharepoint.com/personal/kayleigh_day_milton-keynes_gov_uk/Documents/LMS Webiste/24-25/year end guidance/"/>
    </mc:Choice>
  </mc:AlternateContent>
  <xr:revisionPtr revIDLastSave="4" documentId="8_{9D66C06C-C65E-4220-8D9B-3CCE09DA52B7}" xr6:coauthVersionLast="47" xr6:coauthVersionMax="47" xr10:uidLastSave="{6ACCB2CF-5F31-44E8-B1EA-43D2AC88BF84}"/>
  <workbookProtection workbookAlgorithmName="SHA-512" workbookHashValue="6/AM8pieVOuS78n3SI8wI0Ld0o3J7RszIVcheCaRUId42YC3nYFkHnAfqTXXY1M1FvFbF0n4+kyOUmPQyGMkQg==" workbookSaltValue="mSvLInvQltenqDV3mcVkww==" workbookSpinCount="100000" lockStructure="1"/>
  <bookViews>
    <workbookView xWindow="-110" yWindow="-110" windowWidth="19420" windowHeight="10300" xr2:uid="{00000000-000D-0000-FFFF-FFFF00000000}"/>
  </bookViews>
  <sheets>
    <sheet name="DRCR Calc" sheetId="1" r:id="rId1"/>
    <sheet name="Data" sheetId="2" state="hidden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B17" i="1" s="1"/>
  <c r="G11" i="1"/>
  <c r="B16" i="1" s="1"/>
  <c r="D12" i="1"/>
  <c r="D11" i="1"/>
  <c r="B15" i="1" s="1"/>
  <c r="J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4" i="2"/>
  <c r="F7" i="1" l="1"/>
  <c r="B22" i="1" s="1"/>
  <c r="B18" i="1" l="1"/>
  <c r="B21" i="1" s="1"/>
  <c r="B23" i="1" s="1"/>
  <c r="B24" i="1" l="1"/>
  <c r="C27" i="1" s="1"/>
  <c r="D26" i="1" l="1"/>
  <c r="D27" i="1" s="1"/>
  <c r="C26" i="1"/>
  <c r="C43" i="2" l="1"/>
  <c r="C24" i="2"/>
  <c r="C15" i="2"/>
  <c r="C19" i="2"/>
  <c r="C11" i="2"/>
  <c r="C4" i="2"/>
  <c r="C44" i="2"/>
  <c r="C51" i="2"/>
  <c r="C58" i="2"/>
  <c r="C54" i="2"/>
  <c r="C39" i="2"/>
  <c r="C20" i="2"/>
  <c r="C35" i="2"/>
  <c r="C56" i="2" l="1"/>
  <c r="C10" i="2"/>
  <c r="C32" i="2"/>
  <c r="C45" i="2"/>
  <c r="C48" i="2"/>
  <c r="C46" i="2"/>
  <c r="C36" i="2"/>
  <c r="C21" i="2"/>
  <c r="C59" i="2"/>
  <c r="C40" i="2"/>
  <c r="C60" i="2"/>
  <c r="C38" i="2"/>
  <c r="C37" i="2"/>
  <c r="C12" i="2"/>
  <c r="C7" i="2"/>
  <c r="C30" i="2"/>
  <c r="C57" i="2"/>
  <c r="C61" i="2"/>
  <c r="C50" i="2"/>
  <c r="C49" i="2"/>
  <c r="C34" i="2"/>
  <c r="C13" i="2"/>
  <c r="C53" i="2"/>
  <c r="C55" i="2"/>
  <c r="C22" i="2"/>
  <c r="C5" i="2"/>
  <c r="C26" i="2"/>
  <c r="C8" i="2"/>
  <c r="C47" i="2"/>
  <c r="C28" i="2"/>
  <c r="C31" i="2"/>
  <c r="C42" i="2"/>
  <c r="C6" i="2"/>
  <c r="C52" i="2"/>
  <c r="C14" i="2"/>
  <c r="C23" i="2"/>
  <c r="C27" i="2"/>
  <c r="C18" i="2"/>
  <c r="C17" i="2"/>
  <c r="C62" i="2"/>
  <c r="C25" i="2"/>
  <c r="C64" i="2"/>
  <c r="C63" i="2" l="1"/>
  <c r="C66" i="2" s="1"/>
</calcChain>
</file>

<file path=xl/sharedStrings.xml><?xml version="1.0" encoding="utf-8"?>
<sst xmlns="http://schemas.openxmlformats.org/spreadsheetml/2006/main" count="267" uniqueCount="156">
  <si>
    <t>School:</t>
  </si>
  <si>
    <t>Select your school here</t>
  </si>
  <si>
    <t>Pupil data</t>
  </si>
  <si>
    <t>(a)</t>
  </si>
  <si>
    <t>(b)</t>
  </si>
  <si>
    <t>(c)</t>
  </si>
  <si>
    <t>(d)</t>
  </si>
  <si>
    <t>(e)</t>
  </si>
  <si>
    <t>(f)</t>
  </si>
  <si>
    <t xml:space="preserve">School Census </t>
  </si>
  <si>
    <t>Meals taken by ALL pupils in Year Groups 1 and 2</t>
  </si>
  <si>
    <t>Meals taken by FSM pupils in Year Groups 1 and 2</t>
  </si>
  <si>
    <t>Meals taken by grant eligible pupils in Years 1 and 2 (a) - (b)</t>
  </si>
  <si>
    <t>Meals taken by ALL pupils in Year Group R</t>
  </si>
  <si>
    <t>Meals taken by FSM pupils in Year Group R</t>
  </si>
  <si>
    <t>Meals taken by grant eligible pupils in Year R (d) - (e)</t>
  </si>
  <si>
    <r>
      <t xml:space="preserve">Final allocation = (i) </t>
    </r>
    <r>
      <rPr>
        <sz val="12"/>
        <color theme="1"/>
        <rFont val="Arial"/>
        <family val="2"/>
      </rPr>
      <t>plus the greater of</t>
    </r>
    <r>
      <rPr>
        <b/>
        <sz val="12"/>
        <color theme="1"/>
        <rFont val="Arial"/>
        <family val="2"/>
      </rPr>
      <t xml:space="preserve"> (ii) or (iii) </t>
    </r>
  </si>
  <si>
    <t>Calculation of your school end of year debtor/creditor</t>
  </si>
  <si>
    <t>£</t>
  </si>
  <si>
    <t>Notes</t>
  </si>
  <si>
    <t>7/12ths of final allocation</t>
  </si>
  <si>
    <t>This is the amount you should have received.</t>
  </si>
  <si>
    <t>Cash Advance Provisional Payment</t>
  </si>
  <si>
    <t>Instructions:</t>
  </si>
  <si>
    <t>Journal to be raised:</t>
  </si>
  <si>
    <t>Enter the relevant census data in the red cells.</t>
  </si>
  <si>
    <t>SP2000</t>
  </si>
  <si>
    <t>Wavendon Gate School</t>
  </si>
  <si>
    <t>SP2001</t>
  </si>
  <si>
    <t>Merebrook Infant School</t>
  </si>
  <si>
    <t>SP2002</t>
  </si>
  <si>
    <t>Portfields Primary School</t>
  </si>
  <si>
    <t>Abbeys Primary School</t>
  </si>
  <si>
    <t>SP2348</t>
  </si>
  <si>
    <t>Barleyhurst Park Primary</t>
  </si>
  <si>
    <t>SP2238</t>
  </si>
  <si>
    <t>SP2006</t>
  </si>
  <si>
    <t>Howe Park School</t>
  </si>
  <si>
    <t>Bishop Parker Catholic School</t>
  </si>
  <si>
    <t>SP3377</t>
  </si>
  <si>
    <t>SP2007</t>
  </si>
  <si>
    <t>Long Meadow School</t>
  </si>
  <si>
    <t>Bow Brickhill CofE VA Primary School</t>
  </si>
  <si>
    <t>SP3384</t>
  </si>
  <si>
    <t>SP2015</t>
  </si>
  <si>
    <t>Castlethorpe First School</t>
  </si>
  <si>
    <t>Brooklands Farm Primary School</t>
  </si>
  <si>
    <t>SP3391</t>
  </si>
  <si>
    <t>SP2017</t>
  </si>
  <si>
    <t>Broughton Fields Primary School</t>
  </si>
  <si>
    <t>SP2042</t>
  </si>
  <si>
    <t>Hanslope Primary School</t>
  </si>
  <si>
    <t>SP2043</t>
  </si>
  <si>
    <t>Haversham Village School</t>
  </si>
  <si>
    <t>Caroline Haslett Primary School</t>
  </si>
  <si>
    <t>SP2336</t>
  </si>
  <si>
    <t>SP2062</t>
  </si>
  <si>
    <t>Oldbrook First School and Nursery</t>
  </si>
  <si>
    <t>Cedars Primary School</t>
  </si>
  <si>
    <t>SP2346</t>
  </si>
  <si>
    <t>SP2112</t>
  </si>
  <si>
    <t>Russell Street School</t>
  </si>
  <si>
    <t>Cold Harbour Church of England School</t>
  </si>
  <si>
    <t>SP3000</t>
  </si>
  <si>
    <t>SP2122</t>
  </si>
  <si>
    <t>Wyvern School</t>
  </si>
  <si>
    <t>Downs Barn School</t>
  </si>
  <si>
    <t>SP2313</t>
  </si>
  <si>
    <t>SP2247</t>
  </si>
  <si>
    <t>Pepper Hill School</t>
  </si>
  <si>
    <t>Falconhurst School</t>
  </si>
  <si>
    <t>SP2285</t>
  </si>
  <si>
    <t>SP2272</t>
  </si>
  <si>
    <t>Greenleys First School</t>
  </si>
  <si>
    <t>Germander Park School</t>
  </si>
  <si>
    <t>SP2316</t>
  </si>
  <si>
    <t>Giffard Park Primary School</t>
  </si>
  <si>
    <t>SP2323</t>
  </si>
  <si>
    <t>SP2303</t>
  </si>
  <si>
    <t>Great Linford Primary School</t>
  </si>
  <si>
    <t>Giles Brook Primary School</t>
  </si>
  <si>
    <t>SP3376</t>
  </si>
  <si>
    <t>SP2306</t>
  </si>
  <si>
    <t>Wood End Infant &amp; Pre-School</t>
  </si>
  <si>
    <t>Glastonbury Thorn School</t>
  </si>
  <si>
    <t>SP2347</t>
  </si>
  <si>
    <t>Green Park School</t>
  </si>
  <si>
    <t>SP2337</t>
  </si>
  <si>
    <t>SP2320</t>
  </si>
  <si>
    <t>The Willows School and Early Years Centre</t>
  </si>
  <si>
    <t>SP2322</t>
  </si>
  <si>
    <t>Priory Common School</t>
  </si>
  <si>
    <t>SP2324</t>
  </si>
  <si>
    <t>Heelands School</t>
  </si>
  <si>
    <t>SP2327</t>
  </si>
  <si>
    <t>Summerfield School</t>
  </si>
  <si>
    <t>SP2330</t>
  </si>
  <si>
    <t>Willen Primary School</t>
  </si>
  <si>
    <t>Loughton Manor First School</t>
  </si>
  <si>
    <t>SP2506</t>
  </si>
  <si>
    <t>Newton Blossomville Church of England School</t>
  </si>
  <si>
    <t>SP3003</t>
  </si>
  <si>
    <t>Newton Leys Primary School</t>
  </si>
  <si>
    <t>SP3390</t>
  </si>
  <si>
    <t>North Crawley CofE School</t>
  </si>
  <si>
    <t>SP3004</t>
  </si>
  <si>
    <t>SP3005</t>
  </si>
  <si>
    <t>Sherington Church of England School</t>
  </si>
  <si>
    <t>SP3006</t>
  </si>
  <si>
    <t>Stoke Goldington Church of England School</t>
  </si>
  <si>
    <t>SP3058</t>
  </si>
  <si>
    <t>St Mary's Wavendon CofE Primary</t>
  </si>
  <si>
    <t>Romans Field School</t>
  </si>
  <si>
    <t>SL7015</t>
  </si>
  <si>
    <t>SP3066</t>
  </si>
  <si>
    <t>St Andrew's CofE Infant School</t>
  </si>
  <si>
    <t>SP3369</t>
  </si>
  <si>
    <t>St Thomas Aquinas Catholic Primary School</t>
  </si>
  <si>
    <t>Slated Row School</t>
  </si>
  <si>
    <t>SL7026</t>
  </si>
  <si>
    <t>SP3378</t>
  </si>
  <si>
    <t>St Monica's Catholic Primary School</t>
  </si>
  <si>
    <t>St Bernadette's Catholic Primary School</t>
  </si>
  <si>
    <t>SP3383</t>
  </si>
  <si>
    <t>SP3379</t>
  </si>
  <si>
    <t>St Mary Magdalene Catholic Primary School</t>
  </si>
  <si>
    <t>SP3389</t>
  </si>
  <si>
    <t>Tickford Park Primary School</t>
  </si>
  <si>
    <t>SL7009</t>
  </si>
  <si>
    <t>White Spire School</t>
  </si>
  <si>
    <t>The Redway School</t>
  </si>
  <si>
    <t>SL7034</t>
  </si>
  <si>
    <t>SL7021</t>
  </si>
  <si>
    <t>CLOSURE OF ACCOUNTS 2024/2025</t>
  </si>
  <si>
    <r>
      <rPr>
        <b/>
        <sz val="12"/>
        <color theme="1"/>
        <rFont val="Arial"/>
        <family val="2"/>
      </rPr>
      <t>(i)</t>
    </r>
    <r>
      <rPr>
        <sz val="12"/>
        <color theme="1"/>
        <rFont val="Arial"/>
        <family val="2"/>
      </rPr>
      <t xml:space="preserve"> Average of October 2024 and January 2025 take up of meals in Years 1 and 2</t>
    </r>
  </si>
  <si>
    <t>Final Allocation for 24/25 academic year</t>
  </si>
  <si>
    <t>(ii) Average of October 2024 and January 2025 take up of meals in Year R only</t>
  </si>
  <si>
    <t>(iii) January 2025 take up of meals in Year R only</t>
  </si>
  <si>
    <t>Debtor / (Creditor) value to be raised at 31/03/2025</t>
  </si>
  <si>
    <t>A positive balance = debtor (not enough income was recorded for Sep 24 - Mar 25).  
A negative balance = creditor (too much income was recorded for Sep 24 - Mar 25)</t>
  </si>
  <si>
    <t>Post journal in FMS by 21 March 2025 and record on the debtor/creditor list</t>
  </si>
  <si>
    <t>Universal Infant Free School Meals (UIFSM) -  Year End Debtor/Creditor Calculation 2024/2025</t>
  </si>
  <si>
    <t>Prov revenue payment for 24/25</t>
  </si>
  <si>
    <t>White Spire school</t>
  </si>
  <si>
    <t>The Woodlands School</t>
  </si>
  <si>
    <t>total</t>
  </si>
  <si>
    <t>total provison payment on CA sheet</t>
  </si>
  <si>
    <t>diff</t>
  </si>
  <si>
    <t>final payment for 23/24</t>
  </si>
  <si>
    <t>Journal to be posted in FMS by Tuesday 25 March 2025</t>
  </si>
  <si>
    <t>October 2024</t>
  </si>
  <si>
    <t>January 2025</t>
  </si>
  <si>
    <t>(October 2024 Year 1 and 2 pupils in (c) + January 2025 Year 1 and 2 pupils in (c))/2 x the meal rate of £2.58  x  190 meal days)</t>
  </si>
  <si>
    <t>(October 2024 Year R pupils in (f)+ January 2025 Year R pupils in (f))/2 x the meal rate of £2.58  x  190 meal days)</t>
  </si>
  <si>
    <t>(January 2025 pupils in (f) x the meal rate of £2.58  x  190 meal days</t>
  </si>
  <si>
    <t>This is the figure you received in your cash advance in cell R55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</si>
</sst>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809]d\ mmmm\ yyyy;@"/>
    <numFmt numFmtId="165" formatCode="_-* #,##0_-;\-* #,##0_-;_-* &quot;-&quot;??_-;_-@_-"/>
    <numFmt numFmtId="166" formatCode="#,##0_ ;\-#,##0\ "/>
    <numFmt numFmtId="167" formatCode="[$£]#,##0"/>
  </numFmts>
  <fonts count="1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13" fillId="0" borderId="0" applyNumberFormat="0" applyBorder="0" applyProtection="0"/>
    <xf numFmtId="0" fontId="1" fillId="0" borderId="0"/>
  </cellStyleXfs>
  <cellXfs count="65">
    <xf numFmtId="0" fontId="0" fillId="0" borderId="0" xfId="0"/>
    <xf numFmtId="0" fontId="8" fillId="3" borderId="4" xfId="0" applyFont="1" applyFill="1" applyBorder="1" applyProtection="1">
      <protection locked="0"/>
    </xf>
    <xf numFmtId="0" fontId="8" fillId="3" borderId="5" xfId="0" applyFont="1" applyFill="1" applyBorder="1" applyProtection="1">
      <protection locked="0"/>
    </xf>
    <xf numFmtId="0" fontId="8" fillId="3" borderId="6" xfId="0" applyFont="1" applyFill="1" applyBorder="1" applyProtection="1">
      <protection locked="0"/>
    </xf>
    <xf numFmtId="0" fontId="5" fillId="4" borderId="9" xfId="0" applyFont="1" applyFill="1" applyBorder="1"/>
    <xf numFmtId="0" fontId="0" fillId="4" borderId="10" xfId="0" applyFill="1" applyBorder="1"/>
    <xf numFmtId="0" fontId="3" fillId="0" borderId="0" xfId="0" applyFont="1" applyAlignment="1">
      <alignment horizont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3" fillId="2" borderId="3" xfId="0" applyNumberFormat="1" applyFont="1" applyFill="1" applyBorder="1"/>
    <xf numFmtId="164" fontId="6" fillId="0" borderId="0" xfId="0" applyNumberFormat="1" applyFont="1"/>
    <xf numFmtId="49" fontId="7" fillId="5" borderId="1" xfId="0" applyNumberFormat="1" applyFont="1" applyFill="1" applyBorder="1"/>
    <xf numFmtId="0" fontId="0" fillId="5" borderId="1" xfId="0" applyFill="1" applyBorder="1"/>
    <xf numFmtId="49" fontId="0" fillId="5" borderId="1" xfId="0" applyNumberFormat="1" applyFill="1" applyBorder="1" applyAlignment="1">
      <alignment wrapText="1"/>
    </xf>
    <xf numFmtId="165" fontId="3" fillId="5" borderId="1" xfId="1" applyNumberFormat="1" applyFont="1" applyFill="1" applyBorder="1" applyProtection="1"/>
    <xf numFmtId="49" fontId="3" fillId="5" borderId="1" xfId="0" applyNumberFormat="1" applyFont="1" applyFill="1" applyBorder="1" applyAlignment="1">
      <alignment wrapText="1"/>
    </xf>
    <xf numFmtId="49" fontId="3" fillId="6" borderId="3" xfId="0" applyNumberFormat="1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/>
    </xf>
    <xf numFmtId="0" fontId="0" fillId="6" borderId="3" xfId="0" applyFill="1" applyBorder="1"/>
    <xf numFmtId="166" fontId="0" fillId="6" borderId="1" xfId="1" applyNumberFormat="1" applyFont="1" applyFill="1" applyBorder="1" applyProtection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3" fillId="6" borderId="11" xfId="0" applyFont="1" applyFill="1" applyBorder="1" applyAlignment="1">
      <alignment vertical="center"/>
    </xf>
    <xf numFmtId="166" fontId="3" fillId="6" borderId="8" xfId="1" applyNumberFormat="1" applyFont="1" applyFill="1" applyBorder="1" applyAlignment="1" applyProtection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3" fillId="7" borderId="14" xfId="0" applyFont="1" applyFill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7" fillId="7" borderId="17" xfId="0" applyFont="1" applyFill="1" applyBorder="1"/>
    <xf numFmtId="0" fontId="0" fillId="7" borderId="18" xfId="0" applyFill="1" applyBorder="1"/>
    <xf numFmtId="0" fontId="0" fillId="7" borderId="19" xfId="0" applyFill="1" applyBorder="1" applyAlignment="1">
      <alignment horizontal="left"/>
    </xf>
    <xf numFmtId="166" fontId="0" fillId="7" borderId="20" xfId="0" applyNumberFormat="1" applyFill="1" applyBorder="1"/>
    <xf numFmtId="0" fontId="0" fillId="7" borderId="12" xfId="0" applyFill="1" applyBorder="1" applyAlignment="1">
      <alignment horizontal="left"/>
    </xf>
    <xf numFmtId="166" fontId="0" fillId="7" borderId="13" xfId="0" applyNumberFormat="1" applyFill="1" applyBorder="1"/>
    <xf numFmtId="3" fontId="9" fillId="0" borderId="0" xfId="0" applyNumberFormat="1" applyFont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 wrapText="1"/>
    </xf>
    <xf numFmtId="167" fontId="14" fillId="0" borderId="0" xfId="0" applyNumberFormat="1" applyFont="1" applyFill="1" applyAlignment="1">
      <alignment horizontal="left" indent="3"/>
    </xf>
    <xf numFmtId="0" fontId="11" fillId="0" borderId="0" xfId="2" applyFont="1" applyFill="1" applyAlignment="1">
      <alignment horizontal="center"/>
    </xf>
    <xf numFmtId="0" fontId="14" fillId="0" borderId="0" xfId="0" applyFont="1" applyFill="1" applyAlignment="1">
      <alignment horizontal="right"/>
    </xf>
    <xf numFmtId="167" fontId="14" fillId="0" borderId="0" xfId="0" applyNumberFormat="1" applyFont="1" applyFill="1"/>
    <xf numFmtId="3" fontId="9" fillId="0" borderId="0" xfId="0" applyNumberFormat="1" applyFont="1" applyFill="1"/>
    <xf numFmtId="0" fontId="0" fillId="0" borderId="0" xfId="0" applyAlignment="1">
      <alignment horizontal="left" wrapText="1"/>
    </xf>
    <xf numFmtId="0" fontId="16" fillId="8" borderId="0" xfId="0" applyFont="1" applyFill="1" applyAlignment="1">
      <alignment horizontal="center" vertical="center"/>
    </xf>
    <xf numFmtId="0" fontId="0" fillId="6" borderId="3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15" fillId="6" borderId="3" xfId="0" applyFont="1" applyFill="1" applyBorder="1" applyAlignment="1">
      <alignment horizontal="left" vertical="center" wrapText="1"/>
    </xf>
    <xf numFmtId="0" fontId="15" fillId="6" borderId="7" xfId="0" applyFont="1" applyFill="1" applyBorder="1" applyAlignment="1">
      <alignment horizontal="left" vertical="center" wrapText="1"/>
    </xf>
    <xf numFmtId="0" fontId="4" fillId="9" borderId="0" xfId="0" applyFont="1" applyFill="1" applyAlignment="1">
      <alignment horizontal="center" wrapText="1"/>
    </xf>
    <xf numFmtId="165" fontId="0" fillId="5" borderId="3" xfId="1" applyNumberFormat="1" applyFont="1" applyFill="1" applyBorder="1" applyAlignment="1" applyProtection="1">
      <alignment horizontal="left" wrapText="1"/>
    </xf>
    <xf numFmtId="165" fontId="0" fillId="5" borderId="7" xfId="1" applyNumberFormat="1" applyFont="1" applyFill="1" applyBorder="1" applyAlignment="1" applyProtection="1">
      <alignment horizontal="left" wrapText="1"/>
    </xf>
    <xf numFmtId="0" fontId="3" fillId="6" borderId="7" xfId="0" applyFont="1" applyFill="1" applyBorder="1" applyAlignment="1">
      <alignment horizontal="left" vertical="center"/>
    </xf>
    <xf numFmtId="0" fontId="12" fillId="7" borderId="14" xfId="0" applyFont="1" applyFill="1" applyBorder="1" applyAlignment="1">
      <alignment horizontal="left" wrapText="1"/>
    </xf>
    <xf numFmtId="0" fontId="12" fillId="7" borderId="16" xfId="0" applyFont="1" applyFill="1" applyBorder="1" applyAlignment="1">
      <alignment horizontal="left" wrapText="1"/>
    </xf>
    <xf numFmtId="0" fontId="12" fillId="7" borderId="14" xfId="0" applyFont="1" applyFill="1" applyBorder="1" applyAlignment="1" applyProtection="1">
      <alignment horizontal="left" wrapText="1"/>
      <protection locked="0"/>
    </xf>
    <xf numFmtId="0" fontId="12" fillId="7" borderId="15" xfId="0" applyFont="1" applyFill="1" applyBorder="1" applyAlignment="1" applyProtection="1">
      <alignment horizontal="left" wrapText="1"/>
      <protection locked="0"/>
    </xf>
    <xf numFmtId="165" fontId="0" fillId="5" borderId="3" xfId="1" applyNumberFormat="1" applyFont="1" applyFill="1" applyBorder="1" applyAlignment="1" applyProtection="1">
      <alignment horizontal="center" wrapText="1"/>
    </xf>
    <xf numFmtId="165" fontId="0" fillId="5" borderId="7" xfId="1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center" wrapText="1"/>
    </xf>
  </cellXfs>
  <cellStyles count="5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5" xfId="4" xr:uid="{69E2C6BF-D325-4554-A748-F6CFBF95637F}"/>
  </cellStyles>
  <dxfs count="8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0</xdr:row>
      <xdr:rowOff>38101</xdr:rowOff>
    </xdr:from>
    <xdr:to>
      <xdr:col>12</xdr:col>
      <xdr:colOff>133350</xdr:colOff>
      <xdr:row>27</xdr:row>
      <xdr:rowOff>66675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934700" y="38101"/>
          <a:ext cx="3133725" cy="6772274"/>
        </a:xfrm>
        <a:prstGeom prst="rect">
          <a:avLst/>
        </a:prstGeom>
        <a:solidFill>
          <a:schemeClr val="lt1"/>
        </a:solidFill>
        <a:ln w="53975" cap="flat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/>
            <a:t>The UIFSM grant is paid on an academic year basis.  The July 2024 payment was made up of two amounts:</a:t>
          </a:r>
        </a:p>
        <a:p>
          <a:r>
            <a:rPr lang="en-GB" sz="1400"/>
            <a:t>-Final</a:t>
          </a:r>
          <a:r>
            <a:rPr lang="en-GB" sz="1400" baseline="0"/>
            <a:t> payment for Apr 24-Aug 24 based on Oct 23 and Jan 24 census</a:t>
          </a:r>
        </a:p>
        <a:p>
          <a:r>
            <a:rPr lang="en-GB" sz="1400" baseline="0"/>
            <a:t>-Provisional payment for Sep 24-Mar 25</a:t>
          </a:r>
        </a:p>
        <a:p>
          <a:endParaRPr lang="en-GB" sz="1400" baseline="0"/>
        </a:p>
        <a:p>
          <a:r>
            <a:rPr lang="en-GB" sz="1400" baseline="0"/>
            <a:t>The provisional payment is calculated using the Oct 23 and Jan 24 census but will be recalculated in July 25 based on the Oct 24 and Jan 25 census.</a:t>
          </a:r>
        </a:p>
        <a:p>
          <a:endParaRPr lang="en-GB" sz="1400" baseline="0"/>
        </a:p>
        <a:p>
          <a:r>
            <a:rPr lang="en-GB" sz="1400" baseline="0"/>
            <a:t>The UIFSM debtor or creditor is calculated based on the amount the final payment should be.  This spreadsheet calculates the final payment, takes 7 months of that payment and then calculates the difference between what the payment should be at the new funding rate vs what has been paid.</a:t>
          </a:r>
        </a:p>
        <a:p>
          <a:endParaRPr lang="en-GB" sz="1400" baseline="0"/>
        </a:p>
        <a:p>
          <a:r>
            <a:rPr lang="en-GB" sz="1400" baseline="0"/>
            <a:t>The difference is the debtor or creditor which should be raised.</a:t>
          </a:r>
        </a:p>
        <a:p>
          <a:endParaRPr lang="en-GB" sz="1400" baseline="0"/>
        </a:p>
        <a:p>
          <a:r>
            <a:rPr lang="en-GB" sz="1400" b="1" baseline="0">
              <a:solidFill>
                <a:srgbClr val="FF0000"/>
              </a:solidFill>
            </a:rPr>
            <a:t>TO COMPLETE</a:t>
          </a:r>
          <a:endParaRPr lang="en-GB" sz="1400" b="0" baseline="0">
            <a:solidFill>
              <a:srgbClr val="FF0000"/>
            </a:solidFill>
          </a:endParaRPr>
        </a:p>
        <a:p>
          <a:r>
            <a:rPr lang="en-GB" sz="1400" b="0" baseline="0">
              <a:solidFill>
                <a:srgbClr val="FF0000"/>
              </a:solidFill>
            </a:rPr>
            <a:t>Select school from yellow box</a:t>
          </a:r>
        </a:p>
        <a:p>
          <a:r>
            <a:rPr lang="en-GB" sz="1400" b="0" baseline="0">
              <a:solidFill>
                <a:srgbClr val="FF0000"/>
              </a:solidFill>
            </a:rPr>
            <a:t>Enter census data in white cells</a:t>
          </a:r>
        </a:p>
        <a:p>
          <a:r>
            <a:rPr lang="en-GB" sz="1400" b="0" baseline="0">
              <a:solidFill>
                <a:srgbClr val="FF0000"/>
              </a:solidFill>
            </a:rPr>
            <a:t>Post journal detailed in rows 26/27</a:t>
          </a:r>
          <a:endParaRPr lang="en-GB" sz="1400" b="1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kcouncil.sharepoint.com/sites/files-fin-FN16/FN16.1/Cash%20Advances%202024-25/Cash%20Advance%20Sheets%202024-25.xlsx" TargetMode="External"/><Relationship Id="rId1" Type="http://schemas.openxmlformats.org/officeDocument/2006/relationships/externalLinkPath" Target="https://mkcouncil.sharepoint.com/sites/files-fin-FN16/FN16.1/Cash%20Advances%202024-25/Cash%20Advance%20Sheets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FOji5e8SkEiCSI1IKO-BDm2SabIKC8xEmOYFbjJRTjfpIO-nG8j2R4ECBdEQbKQ8" itemId="01ULYEVV2SOVRUZNGKRZGJVJ3A6A4YAT64">
      <xxl21:absoluteUrl r:id="rId2"/>
    </xxl21:alternateUrls>
    <sheetNames>
      <sheetName val="Abbeys"/>
      <sheetName val="Barleyhurst Park"/>
      <sheetName val="Bishop Parker"/>
      <sheetName val="Bow Brickhill"/>
      <sheetName val="Bradwell Village"/>
      <sheetName val="Brooklands Farm"/>
      <sheetName val="Broughton Fields"/>
      <sheetName val="Bushfield"/>
      <sheetName val="Caroline Haslett"/>
      <sheetName val="Castlethorpe"/>
      <sheetName val="Cedars"/>
      <sheetName val="Cold Harbour"/>
      <sheetName val="Downs Barn"/>
      <sheetName val="Emerson Valley"/>
      <sheetName val="Falconhurst"/>
      <sheetName val="Germander Park"/>
      <sheetName val="Giffard Park"/>
      <sheetName val="Giles Brook"/>
      <sheetName val="Glastonbury Thorn"/>
      <sheetName val="Great Linford"/>
      <sheetName val="Green Park"/>
      <sheetName val="Greenleys First"/>
      <sheetName val="Greenleys Jnr"/>
      <sheetName val="Hanslope"/>
      <sheetName val="Haversham"/>
      <sheetName val="Heelands"/>
      <sheetName val="Howe Park"/>
      <sheetName val="Long Meadow"/>
      <sheetName val="Loughton Manor"/>
      <sheetName val="Merebrook"/>
      <sheetName val="Newton Blossomville"/>
      <sheetName val="Newton Leys"/>
      <sheetName val="North Crawley"/>
      <sheetName val="Oldbrook"/>
      <sheetName val="Pepper Hill"/>
      <sheetName val="Portfields"/>
      <sheetName val="Priory Common"/>
      <sheetName val="Russell Street"/>
      <sheetName val="Sherington"/>
      <sheetName val="Southwood"/>
      <sheetName val="St Andrews"/>
      <sheetName val="St Bernadettes"/>
      <sheetName val="St Mary Magdelene"/>
      <sheetName val="St Marys Wavendon"/>
      <sheetName val="St Monicas"/>
      <sheetName val="St Thomas Aquinas"/>
      <sheetName val="Stanton"/>
      <sheetName val="Stoke Goldington"/>
      <sheetName val="Summerfield"/>
      <sheetName val="Tickford Park"/>
      <sheetName val="Wavendon Gate"/>
      <sheetName val="Willen"/>
      <sheetName val="Willows"/>
      <sheetName val="Wood End"/>
      <sheetName val="Wyvern"/>
      <sheetName val="Knowles Nursery"/>
      <sheetName val="Moorlands Nursery"/>
      <sheetName val="Radcliffe"/>
      <sheetName val="St Pauls"/>
      <sheetName val="Redway"/>
      <sheetName val="Romansfield"/>
      <sheetName val="Slated Row"/>
      <sheetName val="Woodlands"/>
      <sheetName val="Whitespire"/>
      <sheetName val="Total A-L"/>
      <sheetName val="Total M-Z"/>
      <sheetName val="Total"/>
      <sheetName val="School Formula Summary"/>
      <sheetName val="EY Funding"/>
      <sheetName val="High Needs"/>
      <sheetName val="Growth &amp; Amalgamation"/>
      <sheetName val="EFA"/>
      <sheetName val="Pupil Premium"/>
      <sheetName val="Devolved Capital"/>
      <sheetName val="UIFSM"/>
      <sheetName val="Academy Conv Calcs"/>
      <sheetName val="Deadlines"/>
      <sheetName val="Opening Rec"/>
      <sheetName val="School Vendor Numbers"/>
      <sheetName val="Place Fund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1">
          <cell r="F1" t="str">
            <v>School Name</v>
          </cell>
          <cell r="G1" t="str">
            <v>Academy / Maintained School</v>
          </cell>
          <cell r="H1" t="str">
            <v>School Type</v>
          </cell>
          <cell r="I1" t="str">
            <v>Provisional Payment for 2023/24</v>
          </cell>
          <cell r="J1" t="str">
            <v xml:space="preserve">Final 23/24 Allocation </v>
          </cell>
          <cell r="K1" t="str">
            <v xml:space="preserve">Difference </v>
          </cell>
          <cell r="L1" t="str">
            <v>Provisional 24/25 July Payment</v>
          </cell>
        </row>
        <row r="2">
          <cell r="F2" t="str">
            <v>Abbeys Primary School</v>
          </cell>
          <cell r="G2" t="str">
            <v>Maintained</v>
          </cell>
          <cell r="H2" t="str">
            <v>Community school</v>
          </cell>
          <cell r="I2">
            <v>15984</v>
          </cell>
          <cell r="J2">
            <v>34371</v>
          </cell>
          <cell r="K2">
            <v>18387</v>
          </cell>
          <cell r="L2">
            <v>20050</v>
          </cell>
        </row>
        <row r="3">
          <cell r="F3" t="str">
            <v>Barleyhurst Park Primary</v>
          </cell>
          <cell r="G3" t="str">
            <v>Maintained</v>
          </cell>
          <cell r="H3" t="str">
            <v>Community school</v>
          </cell>
          <cell r="I3">
            <v>15283</v>
          </cell>
          <cell r="J3">
            <v>28121</v>
          </cell>
          <cell r="K3">
            <v>12838</v>
          </cell>
          <cell r="L3">
            <v>16404</v>
          </cell>
        </row>
        <row r="4">
          <cell r="F4" t="str">
            <v>Bishop Parker Catholic School</v>
          </cell>
          <cell r="G4" t="str">
            <v>Maintained</v>
          </cell>
          <cell r="H4" t="str">
            <v>Voluntary aided school</v>
          </cell>
          <cell r="I4">
            <v>9675</v>
          </cell>
          <cell r="J4">
            <v>15383</v>
          </cell>
          <cell r="K4">
            <v>5708</v>
          </cell>
          <cell r="L4">
            <v>8974</v>
          </cell>
        </row>
        <row r="5">
          <cell r="F5" t="str">
            <v>Bow Brickhill CofE VA Primary School</v>
          </cell>
          <cell r="G5" t="str">
            <v>Maintained</v>
          </cell>
          <cell r="H5" t="str">
            <v>Voluntary aided school</v>
          </cell>
          <cell r="I5">
            <v>5749</v>
          </cell>
          <cell r="J5">
            <v>11778</v>
          </cell>
          <cell r="K5">
            <v>6029</v>
          </cell>
          <cell r="L5">
            <v>6871</v>
          </cell>
        </row>
        <row r="6">
          <cell r="F6" t="str">
            <v>Brooklands Farm Primary School</v>
          </cell>
          <cell r="G6" t="str">
            <v>Maintained</v>
          </cell>
          <cell r="H6" t="str">
            <v>Community school</v>
          </cell>
          <cell r="I6">
            <v>125624</v>
          </cell>
          <cell r="J6">
            <v>213191</v>
          </cell>
          <cell r="K6">
            <v>87567</v>
          </cell>
          <cell r="L6">
            <v>124362</v>
          </cell>
        </row>
        <row r="7">
          <cell r="F7" t="str">
            <v>Broughton Fields Primary School</v>
          </cell>
          <cell r="G7" t="str">
            <v>Maintained</v>
          </cell>
          <cell r="H7" t="str">
            <v>Community school</v>
          </cell>
          <cell r="I7">
            <v>29863.999999999996</v>
          </cell>
          <cell r="J7">
            <v>49513</v>
          </cell>
          <cell r="K7">
            <v>19649.000000000004</v>
          </cell>
          <cell r="L7">
            <v>28883</v>
          </cell>
        </row>
        <row r="8">
          <cell r="F8" t="str">
            <v>Caroline Haslett Primary School</v>
          </cell>
          <cell r="G8" t="str">
            <v>Maintained</v>
          </cell>
          <cell r="H8" t="str">
            <v>Community school</v>
          </cell>
          <cell r="I8">
            <v>37295</v>
          </cell>
          <cell r="J8">
            <v>65376</v>
          </cell>
          <cell r="K8">
            <v>28081</v>
          </cell>
          <cell r="L8">
            <v>38136</v>
          </cell>
        </row>
        <row r="9">
          <cell r="F9" t="str">
            <v>Castlethorpe First School</v>
          </cell>
          <cell r="G9" t="str">
            <v>Maintained</v>
          </cell>
          <cell r="H9" t="str">
            <v>Community school</v>
          </cell>
          <cell r="I9">
            <v>8553</v>
          </cell>
          <cell r="J9">
            <v>12739</v>
          </cell>
          <cell r="K9">
            <v>4186</v>
          </cell>
          <cell r="L9">
            <v>7432</v>
          </cell>
        </row>
        <row r="10">
          <cell r="F10" t="str">
            <v>Cedars Primary School</v>
          </cell>
          <cell r="G10" t="str">
            <v>Maintained</v>
          </cell>
          <cell r="H10" t="str">
            <v>Community school</v>
          </cell>
          <cell r="I10">
            <v>18929.000000000004</v>
          </cell>
          <cell r="J10">
            <v>32928</v>
          </cell>
          <cell r="K10">
            <v>13998.999999999996</v>
          </cell>
          <cell r="L10">
            <v>19208</v>
          </cell>
        </row>
        <row r="11">
          <cell r="F11" t="str">
            <v>Cold Harbour Church of England School</v>
          </cell>
          <cell r="G11" t="str">
            <v>Maintained</v>
          </cell>
          <cell r="H11" t="str">
            <v>Voluntary controlled school</v>
          </cell>
          <cell r="I11">
            <v>10515.999999999998</v>
          </cell>
          <cell r="J11">
            <v>21392</v>
          </cell>
          <cell r="K11">
            <v>10876.000000000002</v>
          </cell>
          <cell r="L11">
            <v>12479</v>
          </cell>
        </row>
        <row r="12">
          <cell r="F12" t="str">
            <v>Downs Barn School</v>
          </cell>
          <cell r="G12" t="str">
            <v>Maintained</v>
          </cell>
          <cell r="H12" t="str">
            <v>Community school</v>
          </cell>
          <cell r="I12">
            <v>9535</v>
          </cell>
          <cell r="J12">
            <v>16344</v>
          </cell>
          <cell r="K12">
            <v>6809</v>
          </cell>
          <cell r="L12">
            <v>9534</v>
          </cell>
        </row>
        <row r="13">
          <cell r="F13" t="str">
            <v>Falconhurst School</v>
          </cell>
          <cell r="G13" t="str">
            <v>Maintained</v>
          </cell>
          <cell r="H13" t="str">
            <v>Community school</v>
          </cell>
          <cell r="I13">
            <v>18648</v>
          </cell>
          <cell r="J13">
            <v>28121</v>
          </cell>
          <cell r="K13">
            <v>9473</v>
          </cell>
          <cell r="L13">
            <v>16404</v>
          </cell>
        </row>
        <row r="14">
          <cell r="F14" t="str">
            <v>Germander Park School</v>
          </cell>
          <cell r="G14" t="str">
            <v>Maintained</v>
          </cell>
          <cell r="H14" t="str">
            <v>Foundation school</v>
          </cell>
          <cell r="I14">
            <v>9114</v>
          </cell>
          <cell r="J14">
            <v>13460</v>
          </cell>
          <cell r="K14">
            <v>4346</v>
          </cell>
          <cell r="L14">
            <v>7852</v>
          </cell>
        </row>
        <row r="15">
          <cell r="F15" t="str">
            <v>Giffard Park Primary School</v>
          </cell>
          <cell r="G15" t="str">
            <v>Maintained</v>
          </cell>
          <cell r="H15" t="str">
            <v>Community school</v>
          </cell>
          <cell r="I15">
            <v>25518</v>
          </cell>
          <cell r="J15">
            <v>37255</v>
          </cell>
          <cell r="K15">
            <v>11737</v>
          </cell>
          <cell r="L15">
            <v>21733</v>
          </cell>
        </row>
        <row r="16">
          <cell r="F16" t="str">
            <v>Giles Brook Primary School</v>
          </cell>
          <cell r="G16" t="str">
            <v>Maintained</v>
          </cell>
          <cell r="H16" t="str">
            <v>Community school</v>
          </cell>
          <cell r="I16">
            <v>44726</v>
          </cell>
          <cell r="J16">
            <v>72827</v>
          </cell>
          <cell r="K16">
            <v>28101</v>
          </cell>
          <cell r="L16">
            <v>42483</v>
          </cell>
        </row>
        <row r="17">
          <cell r="F17" t="str">
            <v>Glastonbury Thorn School</v>
          </cell>
          <cell r="G17" t="str">
            <v>Maintained</v>
          </cell>
          <cell r="H17" t="str">
            <v>Foundation school</v>
          </cell>
          <cell r="I17">
            <v>34351</v>
          </cell>
          <cell r="J17">
            <v>63213</v>
          </cell>
          <cell r="K17">
            <v>28862</v>
          </cell>
          <cell r="L17">
            <v>36875</v>
          </cell>
        </row>
        <row r="18">
          <cell r="F18" t="str">
            <v>Great Linford Primary School</v>
          </cell>
          <cell r="G18" t="str">
            <v>Maintained</v>
          </cell>
          <cell r="H18" t="str">
            <v>Community school</v>
          </cell>
          <cell r="I18">
            <v>28182</v>
          </cell>
          <cell r="J18">
            <v>49032</v>
          </cell>
          <cell r="K18">
            <v>20850</v>
          </cell>
          <cell r="L18">
            <v>28602</v>
          </cell>
        </row>
        <row r="19">
          <cell r="F19" t="str">
            <v>Green Park School</v>
          </cell>
          <cell r="G19" t="str">
            <v>Maintained</v>
          </cell>
          <cell r="H19" t="str">
            <v>Foundation school</v>
          </cell>
          <cell r="I19">
            <v>28041</v>
          </cell>
          <cell r="J19">
            <v>52877</v>
          </cell>
          <cell r="K19">
            <v>24836</v>
          </cell>
          <cell r="L19">
            <v>30845</v>
          </cell>
        </row>
        <row r="20">
          <cell r="F20" t="str">
            <v>Greenleys First School</v>
          </cell>
          <cell r="G20" t="str">
            <v>Maintained</v>
          </cell>
          <cell r="H20" t="str">
            <v>Community school</v>
          </cell>
          <cell r="I20">
            <v>16965</v>
          </cell>
          <cell r="J20">
            <v>25958</v>
          </cell>
          <cell r="K20">
            <v>8993</v>
          </cell>
          <cell r="L20">
            <v>15143</v>
          </cell>
        </row>
        <row r="21">
          <cell r="F21" t="str">
            <v>Hanslope Primary School</v>
          </cell>
          <cell r="G21" t="str">
            <v>Maintained</v>
          </cell>
          <cell r="H21" t="str">
            <v>Community school</v>
          </cell>
          <cell r="I21">
            <v>17386</v>
          </cell>
          <cell r="J21">
            <v>26199</v>
          </cell>
          <cell r="K21">
            <v>8813</v>
          </cell>
          <cell r="L21">
            <v>15283</v>
          </cell>
        </row>
        <row r="22">
          <cell r="F22" t="str">
            <v>Haversham Village School</v>
          </cell>
          <cell r="G22" t="str">
            <v>Maintained</v>
          </cell>
          <cell r="H22" t="str">
            <v>Community school</v>
          </cell>
          <cell r="I22">
            <v>21592.000000000004</v>
          </cell>
          <cell r="J22">
            <v>28121</v>
          </cell>
          <cell r="K22">
            <v>6528.9999999999964</v>
          </cell>
          <cell r="L22">
            <v>16404</v>
          </cell>
        </row>
        <row r="23">
          <cell r="F23" t="str">
            <v>Heelands School</v>
          </cell>
          <cell r="G23" t="str">
            <v>Maintained</v>
          </cell>
          <cell r="H23" t="str">
            <v>Community school</v>
          </cell>
          <cell r="I23">
            <v>10096</v>
          </cell>
          <cell r="J23">
            <v>22593</v>
          </cell>
          <cell r="K23">
            <v>12497</v>
          </cell>
          <cell r="L23">
            <v>13180</v>
          </cell>
        </row>
        <row r="24">
          <cell r="F24" t="str">
            <v>Howe Park School</v>
          </cell>
          <cell r="G24" t="str">
            <v>Maintained</v>
          </cell>
          <cell r="H24" t="str">
            <v>Community school</v>
          </cell>
          <cell r="I24">
            <v>38838</v>
          </cell>
          <cell r="J24">
            <v>67539</v>
          </cell>
          <cell r="K24">
            <v>28701</v>
          </cell>
          <cell r="L24">
            <v>39398</v>
          </cell>
        </row>
        <row r="25">
          <cell r="F25" t="str">
            <v>Long Meadow School</v>
          </cell>
          <cell r="G25" t="str">
            <v>Maintained</v>
          </cell>
          <cell r="H25" t="str">
            <v>Community school</v>
          </cell>
          <cell r="I25">
            <v>31827</v>
          </cell>
          <cell r="J25">
            <v>49272</v>
          </cell>
          <cell r="K25">
            <v>17445</v>
          </cell>
          <cell r="L25">
            <v>28742</v>
          </cell>
        </row>
        <row r="26">
          <cell r="F26" t="str">
            <v>Loughton Manor First School</v>
          </cell>
          <cell r="G26" t="str">
            <v>Maintained</v>
          </cell>
          <cell r="H26" t="str">
            <v>Community school</v>
          </cell>
          <cell r="I26">
            <v>34771</v>
          </cell>
          <cell r="J26">
            <v>59367</v>
          </cell>
          <cell r="K26">
            <v>24596</v>
          </cell>
          <cell r="L26">
            <v>34631</v>
          </cell>
        </row>
        <row r="27">
          <cell r="F27" t="str">
            <v>Merebrook Infant School</v>
          </cell>
          <cell r="G27" t="str">
            <v>Maintained</v>
          </cell>
          <cell r="H27" t="str">
            <v>Community school</v>
          </cell>
          <cell r="I27">
            <v>24396</v>
          </cell>
          <cell r="J27">
            <v>57204</v>
          </cell>
          <cell r="K27">
            <v>32808</v>
          </cell>
          <cell r="L27">
            <v>33369</v>
          </cell>
        </row>
        <row r="28">
          <cell r="F28" t="str">
            <v>Newton Blossomville Church of England School</v>
          </cell>
          <cell r="G28" t="str">
            <v>Maintained</v>
          </cell>
          <cell r="H28" t="str">
            <v>Voluntary controlled school</v>
          </cell>
          <cell r="I28">
            <v>3786</v>
          </cell>
          <cell r="J28">
            <v>8172</v>
          </cell>
          <cell r="K28">
            <v>4386</v>
          </cell>
          <cell r="L28">
            <v>4767</v>
          </cell>
        </row>
        <row r="29">
          <cell r="F29" t="str">
            <v>Newton Leys Primary School</v>
          </cell>
          <cell r="G29" t="str">
            <v>Maintained</v>
          </cell>
          <cell r="H29" t="str">
            <v>Community school</v>
          </cell>
          <cell r="I29">
            <v>52297</v>
          </cell>
          <cell r="J29">
            <v>80037</v>
          </cell>
          <cell r="K29">
            <v>27740</v>
          </cell>
          <cell r="L29">
            <v>46689</v>
          </cell>
        </row>
        <row r="30">
          <cell r="F30" t="str">
            <v>North Crawley CofE School</v>
          </cell>
          <cell r="G30" t="str">
            <v>Maintained</v>
          </cell>
          <cell r="H30" t="str">
            <v>Voluntary controlled school</v>
          </cell>
          <cell r="I30">
            <v>7572</v>
          </cell>
          <cell r="J30">
            <v>11537</v>
          </cell>
          <cell r="K30">
            <v>3965</v>
          </cell>
          <cell r="L30">
            <v>6730</v>
          </cell>
        </row>
        <row r="31">
          <cell r="F31" t="str">
            <v>Oldbrook First School and Nursery</v>
          </cell>
          <cell r="G31" t="str">
            <v>Maintained</v>
          </cell>
          <cell r="H31" t="str">
            <v>Community school</v>
          </cell>
          <cell r="I31">
            <v>22994</v>
          </cell>
          <cell r="J31">
            <v>45667</v>
          </cell>
          <cell r="K31">
            <v>22673</v>
          </cell>
          <cell r="L31">
            <v>26640</v>
          </cell>
        </row>
        <row r="32">
          <cell r="F32" t="str">
            <v>Pepper Hill School</v>
          </cell>
          <cell r="G32" t="str">
            <v>Maintained</v>
          </cell>
          <cell r="H32" t="str">
            <v>Community school</v>
          </cell>
          <cell r="I32">
            <v>24677</v>
          </cell>
          <cell r="J32">
            <v>38937</v>
          </cell>
          <cell r="K32">
            <v>14260</v>
          </cell>
          <cell r="L32">
            <v>22714</v>
          </cell>
        </row>
        <row r="33">
          <cell r="F33" t="str">
            <v>Portfields Primary School</v>
          </cell>
          <cell r="G33" t="str">
            <v>Maintained</v>
          </cell>
          <cell r="H33" t="str">
            <v>Foundation school</v>
          </cell>
          <cell r="I33">
            <v>42202</v>
          </cell>
          <cell r="J33">
            <v>64174</v>
          </cell>
          <cell r="K33">
            <v>21972</v>
          </cell>
          <cell r="L33">
            <v>37435</v>
          </cell>
        </row>
        <row r="34">
          <cell r="F34" t="str">
            <v>Priory Common School</v>
          </cell>
          <cell r="G34" t="str">
            <v>Maintained</v>
          </cell>
          <cell r="H34" t="str">
            <v>Community school</v>
          </cell>
          <cell r="I34">
            <v>10376</v>
          </cell>
          <cell r="J34">
            <v>15864</v>
          </cell>
          <cell r="K34">
            <v>5488</v>
          </cell>
          <cell r="L34">
            <v>9254</v>
          </cell>
        </row>
        <row r="35">
          <cell r="F35" t="str">
            <v>Romans Field School</v>
          </cell>
          <cell r="G35" t="str">
            <v>Maintained</v>
          </cell>
          <cell r="H35" t="str">
            <v>Community special school</v>
          </cell>
          <cell r="I35">
            <v>0</v>
          </cell>
          <cell r="J35">
            <v>962</v>
          </cell>
          <cell r="K35">
            <v>962</v>
          </cell>
          <cell r="L35">
            <v>562</v>
          </cell>
        </row>
        <row r="36">
          <cell r="F36" t="str">
            <v>Russell Street School</v>
          </cell>
          <cell r="G36" t="str">
            <v>Maintained</v>
          </cell>
          <cell r="H36" t="str">
            <v>Community school</v>
          </cell>
          <cell r="I36">
            <v>38697</v>
          </cell>
          <cell r="J36">
            <v>56483</v>
          </cell>
          <cell r="K36">
            <v>17786</v>
          </cell>
          <cell r="L36">
            <v>32949</v>
          </cell>
        </row>
        <row r="37">
          <cell r="F37" t="str">
            <v>Sherington Church of England School</v>
          </cell>
          <cell r="G37" t="str">
            <v>Maintained</v>
          </cell>
          <cell r="H37" t="str">
            <v>Voluntary controlled school</v>
          </cell>
          <cell r="I37">
            <v>3506</v>
          </cell>
          <cell r="J37">
            <v>6250</v>
          </cell>
          <cell r="K37">
            <v>2744</v>
          </cell>
          <cell r="L37">
            <v>3646</v>
          </cell>
        </row>
        <row r="38">
          <cell r="F38" t="str">
            <v>Slated Row School</v>
          </cell>
          <cell r="G38" t="str">
            <v>Maintained</v>
          </cell>
          <cell r="H38" t="str">
            <v>Community special school</v>
          </cell>
          <cell r="I38">
            <v>1683</v>
          </cell>
          <cell r="J38">
            <v>2644</v>
          </cell>
          <cell r="K38">
            <v>961</v>
          </cell>
          <cell r="L38">
            <v>1543</v>
          </cell>
        </row>
        <row r="39">
          <cell r="F39" t="str">
            <v>St Andrew's CofE Infant School</v>
          </cell>
          <cell r="G39" t="str">
            <v>Maintained</v>
          </cell>
          <cell r="H39" t="str">
            <v>Voluntary controlled school</v>
          </cell>
          <cell r="I39">
            <v>2804.9999999999995</v>
          </cell>
          <cell r="J39">
            <v>4086</v>
          </cell>
          <cell r="K39">
            <v>1281.0000000000005</v>
          </cell>
          <cell r="L39">
            <v>2384</v>
          </cell>
        </row>
        <row r="40">
          <cell r="F40" t="str">
            <v>St Bernadette's Catholic Primary School</v>
          </cell>
          <cell r="G40" t="str">
            <v>Maintained</v>
          </cell>
          <cell r="H40" t="str">
            <v>Voluntary aided school</v>
          </cell>
          <cell r="I40">
            <v>31266</v>
          </cell>
          <cell r="J40">
            <v>52397</v>
          </cell>
          <cell r="K40">
            <v>21131</v>
          </cell>
          <cell r="L40">
            <v>30565</v>
          </cell>
        </row>
        <row r="41">
          <cell r="F41" t="str">
            <v>St Mary Magdalene Catholic Primary School</v>
          </cell>
          <cell r="G41" t="str">
            <v>Maintained</v>
          </cell>
          <cell r="H41" t="str">
            <v>Voluntary aided school</v>
          </cell>
          <cell r="I41">
            <v>31966.999999999996</v>
          </cell>
          <cell r="J41">
            <v>57444</v>
          </cell>
          <cell r="K41">
            <v>25477.000000000004</v>
          </cell>
          <cell r="L41">
            <v>33509</v>
          </cell>
        </row>
        <row r="42">
          <cell r="F42" t="str">
            <v>St Mary's Wavendon CofE Primary</v>
          </cell>
          <cell r="G42" t="str">
            <v>Maintained</v>
          </cell>
          <cell r="H42" t="str">
            <v>Voluntary controlled school</v>
          </cell>
          <cell r="I42">
            <v>23134</v>
          </cell>
          <cell r="J42">
            <v>47349</v>
          </cell>
          <cell r="K42">
            <v>24215</v>
          </cell>
          <cell r="L42">
            <v>27621</v>
          </cell>
        </row>
        <row r="43">
          <cell r="F43" t="str">
            <v>St Monica's Catholic Primary School</v>
          </cell>
          <cell r="G43" t="str">
            <v>Maintained</v>
          </cell>
          <cell r="H43" t="str">
            <v>Voluntary aided school</v>
          </cell>
          <cell r="I43">
            <v>22714</v>
          </cell>
          <cell r="J43">
            <v>51676</v>
          </cell>
          <cell r="K43">
            <v>28962</v>
          </cell>
          <cell r="L43">
            <v>30145</v>
          </cell>
        </row>
        <row r="44">
          <cell r="F44" t="str">
            <v>St Thomas Aquinas Catholic Primary School</v>
          </cell>
          <cell r="G44" t="str">
            <v>Maintained</v>
          </cell>
          <cell r="H44" t="str">
            <v>Voluntary aided school</v>
          </cell>
          <cell r="I44">
            <v>17807</v>
          </cell>
          <cell r="J44">
            <v>27160</v>
          </cell>
          <cell r="K44">
            <v>9353</v>
          </cell>
          <cell r="L44">
            <v>15844</v>
          </cell>
        </row>
        <row r="45">
          <cell r="F45" t="str">
            <v>Stoke Goldington Church of England School</v>
          </cell>
          <cell r="G45" t="str">
            <v>Maintained</v>
          </cell>
          <cell r="H45" t="str">
            <v>Voluntary controlled school</v>
          </cell>
          <cell r="I45">
            <v>6029</v>
          </cell>
          <cell r="J45">
            <v>6730</v>
          </cell>
          <cell r="K45">
            <v>701</v>
          </cell>
          <cell r="L45">
            <v>3926</v>
          </cell>
        </row>
        <row r="46">
          <cell r="F46" t="str">
            <v>Summerfield School</v>
          </cell>
          <cell r="G46" t="str">
            <v>Maintained</v>
          </cell>
          <cell r="H46" t="str">
            <v>Community school</v>
          </cell>
          <cell r="I46">
            <v>26499</v>
          </cell>
          <cell r="J46">
            <v>43985</v>
          </cell>
          <cell r="K46">
            <v>17486</v>
          </cell>
          <cell r="L46">
            <v>25658</v>
          </cell>
        </row>
        <row r="47">
          <cell r="F47" t="str">
            <v>The Redway School</v>
          </cell>
          <cell r="G47" t="str">
            <v>Maintained</v>
          </cell>
          <cell r="H47" t="str">
            <v>Community special school</v>
          </cell>
          <cell r="I47">
            <v>2244</v>
          </cell>
          <cell r="J47">
            <v>7932</v>
          </cell>
          <cell r="K47">
            <v>5688</v>
          </cell>
          <cell r="L47">
            <v>4627</v>
          </cell>
        </row>
        <row r="48">
          <cell r="F48" t="str">
            <v>The Willows School and Early Years Centre</v>
          </cell>
          <cell r="G48" t="str">
            <v>Maintained</v>
          </cell>
          <cell r="H48" t="str">
            <v>Community school</v>
          </cell>
          <cell r="I48">
            <v>17386</v>
          </cell>
          <cell r="J48">
            <v>29564</v>
          </cell>
          <cell r="K48">
            <v>12178</v>
          </cell>
          <cell r="L48">
            <v>17246</v>
          </cell>
        </row>
        <row r="49">
          <cell r="F49" t="str">
            <v>The Woodlands School</v>
          </cell>
          <cell r="G49" t="str">
            <v>Maintained</v>
          </cell>
          <cell r="H49" t="str">
            <v>Community special school</v>
          </cell>
          <cell r="I49">
            <v>4768</v>
          </cell>
          <cell r="J49">
            <v>7451</v>
          </cell>
          <cell r="K49">
            <v>2683</v>
          </cell>
          <cell r="L49">
            <v>4347</v>
          </cell>
        </row>
        <row r="50">
          <cell r="F50" t="str">
            <v>Tickford Park Primary School</v>
          </cell>
          <cell r="G50" t="str">
            <v>Maintained</v>
          </cell>
          <cell r="H50" t="str">
            <v>Foundation school</v>
          </cell>
          <cell r="I50">
            <v>23975.999999999996</v>
          </cell>
          <cell r="J50">
            <v>35572</v>
          </cell>
          <cell r="K50">
            <v>11596.000000000004</v>
          </cell>
          <cell r="L50">
            <v>20751</v>
          </cell>
        </row>
        <row r="51">
          <cell r="F51" t="str">
            <v>Wavendon Gate School</v>
          </cell>
          <cell r="G51" t="str">
            <v>Maintained</v>
          </cell>
          <cell r="H51" t="str">
            <v>Community school</v>
          </cell>
          <cell r="I51">
            <v>34351</v>
          </cell>
          <cell r="J51">
            <v>52637</v>
          </cell>
          <cell r="K51">
            <v>18286</v>
          </cell>
          <cell r="L51">
            <v>30705</v>
          </cell>
        </row>
        <row r="52">
          <cell r="F52" t="str">
            <v>White Spire School</v>
          </cell>
          <cell r="G52" t="str">
            <v>Maintained</v>
          </cell>
          <cell r="H52" t="str">
            <v>Community special school</v>
          </cell>
          <cell r="I52">
            <v>982</v>
          </cell>
          <cell r="J52">
            <v>1443</v>
          </cell>
          <cell r="K52">
            <v>461</v>
          </cell>
          <cell r="L52">
            <v>842</v>
          </cell>
        </row>
        <row r="53">
          <cell r="F53" t="str">
            <v>Willen Primary School</v>
          </cell>
          <cell r="G53" t="str">
            <v>Maintained</v>
          </cell>
          <cell r="H53" t="str">
            <v>Community school</v>
          </cell>
          <cell r="I53">
            <v>31966.999999999996</v>
          </cell>
          <cell r="J53">
            <v>48551</v>
          </cell>
          <cell r="K53">
            <v>16584.000000000004</v>
          </cell>
          <cell r="L53">
            <v>28322</v>
          </cell>
        </row>
        <row r="54">
          <cell r="F54" t="str">
            <v>Wood End Infant &amp; Pre-School</v>
          </cell>
          <cell r="G54" t="str">
            <v>Maintained</v>
          </cell>
          <cell r="H54" t="str">
            <v>Community school</v>
          </cell>
          <cell r="I54">
            <v>10657</v>
          </cell>
          <cell r="J54">
            <v>24276</v>
          </cell>
          <cell r="K54">
            <v>13619</v>
          </cell>
          <cell r="L54">
            <v>14161</v>
          </cell>
        </row>
        <row r="55">
          <cell r="F55" t="str">
            <v>Wyvern School</v>
          </cell>
          <cell r="G55" t="str">
            <v>Maintained</v>
          </cell>
          <cell r="H55" t="str">
            <v>Foundation school</v>
          </cell>
          <cell r="I55">
            <v>51876</v>
          </cell>
          <cell r="J55">
            <v>97102</v>
          </cell>
          <cell r="K55">
            <v>45226</v>
          </cell>
          <cell r="L55">
            <v>56643</v>
          </cell>
        </row>
        <row r="57">
          <cell r="I57">
            <v>1219676</v>
          </cell>
          <cell r="J57">
            <v>2080256</v>
          </cell>
          <cell r="K57">
            <v>860580</v>
          </cell>
          <cell r="L57">
            <v>1213502</v>
          </cell>
        </row>
        <row r="59">
          <cell r="K59"/>
        </row>
        <row r="60">
          <cell r="L60" t="str">
            <v>remittance 23/24</v>
          </cell>
        </row>
        <row r="61">
          <cell r="L61" t="str">
            <v>remittance 24/25</v>
          </cell>
        </row>
        <row r="63">
          <cell r="L63" t="str">
            <v xml:space="preserve">difference </v>
          </cell>
        </row>
        <row r="65">
          <cell r="L65" t="str">
            <v>CA</v>
          </cell>
        </row>
        <row r="67">
          <cell r="L67" t="str">
            <v xml:space="preserve">difference </v>
          </cell>
        </row>
      </sheetData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tabSelected="1" zoomScale="80" zoomScaleNormal="80" workbookViewId="0">
      <selection activeCell="B7" sqref="B7:E7"/>
    </sheetView>
  </sheetViews>
  <sheetFormatPr defaultRowHeight="15.5" x14ac:dyDescent="0.35"/>
  <cols>
    <col min="1" max="1" width="42.69140625" customWidth="1"/>
    <col min="2" max="7" width="13.765625" customWidth="1"/>
    <col min="8" max="8" width="1.69140625" customWidth="1"/>
  </cols>
  <sheetData>
    <row r="1" spans="1:7" ht="20" x14ac:dyDescent="0.35">
      <c r="A1" s="49" t="s">
        <v>133</v>
      </c>
      <c r="B1" s="49"/>
      <c r="C1" s="49"/>
      <c r="D1" s="49"/>
      <c r="E1" s="49"/>
      <c r="F1" s="49"/>
      <c r="G1" s="49"/>
    </row>
    <row r="2" spans="1:7" ht="3" customHeight="1" x14ac:dyDescent="0.35"/>
    <row r="3" spans="1:7" ht="18.75" customHeight="1" x14ac:dyDescent="0.4">
      <c r="A3" s="54" t="s">
        <v>141</v>
      </c>
      <c r="B3" s="54"/>
      <c r="C3" s="54"/>
      <c r="D3" s="54"/>
      <c r="E3" s="54"/>
      <c r="F3" s="54"/>
      <c r="G3" s="54"/>
    </row>
    <row r="4" spans="1:7" ht="3" customHeight="1" x14ac:dyDescent="0.4">
      <c r="A4" s="32"/>
      <c r="B4" s="32"/>
      <c r="C4" s="32"/>
      <c r="D4" s="32"/>
      <c r="E4" s="32"/>
      <c r="F4" s="32"/>
      <c r="G4" s="32"/>
    </row>
    <row r="5" spans="1:7" ht="18" x14ac:dyDescent="0.4">
      <c r="A5" s="64" t="s">
        <v>149</v>
      </c>
      <c r="B5" s="64"/>
      <c r="C5" s="64"/>
      <c r="D5" s="64"/>
      <c r="E5" s="64"/>
      <c r="F5" s="64"/>
      <c r="G5" s="64"/>
    </row>
    <row r="6" spans="1:7" ht="3" customHeight="1" thickBot="1" x14ac:dyDescent="0.45">
      <c r="A6" s="32"/>
      <c r="B6" s="32"/>
      <c r="C6" s="32"/>
      <c r="D6" s="32"/>
      <c r="E6" s="32"/>
      <c r="F6" s="32"/>
      <c r="G6" s="32"/>
    </row>
    <row r="7" spans="1:7" ht="15.75" customHeight="1" x14ac:dyDescent="0.35">
      <c r="A7" s="31" t="s">
        <v>0</v>
      </c>
      <c r="B7" s="60" t="s">
        <v>1</v>
      </c>
      <c r="C7" s="61" t="s">
        <v>1</v>
      </c>
      <c r="D7" s="61" t="s">
        <v>1</v>
      </c>
      <c r="E7" s="61" t="s">
        <v>1</v>
      </c>
      <c r="F7" s="58" t="str">
        <f>IFERROR(VLOOKUP(B7,Data!A4:B62,2,0),"")</f>
        <v/>
      </c>
      <c r="G7" s="59"/>
    </row>
    <row r="8" spans="1:7" ht="15.75" customHeight="1" x14ac:dyDescent="0.35">
      <c r="A8" s="6"/>
      <c r="B8" s="6"/>
      <c r="C8" s="6"/>
      <c r="D8" s="6"/>
      <c r="E8" s="6"/>
      <c r="F8" s="6"/>
      <c r="G8" s="6"/>
    </row>
    <row r="9" spans="1:7" x14ac:dyDescent="0.35">
      <c r="A9" s="7" t="s">
        <v>2</v>
      </c>
      <c r="B9" s="8" t="s">
        <v>3</v>
      </c>
      <c r="C9" s="9" t="s">
        <v>4</v>
      </c>
      <c r="D9" s="9" t="s">
        <v>5</v>
      </c>
      <c r="E9" s="9" t="s">
        <v>6</v>
      </c>
      <c r="F9" s="9" t="s">
        <v>7</v>
      </c>
      <c r="G9" s="9" t="s">
        <v>8</v>
      </c>
    </row>
    <row r="10" spans="1:7" ht="78" thickBot="1" x14ac:dyDescent="0.4">
      <c r="A10" s="10" t="s">
        <v>9</v>
      </c>
      <c r="B10" s="11" t="s">
        <v>10</v>
      </c>
      <c r="C10" s="11" t="s">
        <v>11</v>
      </c>
      <c r="D10" s="12" t="s">
        <v>12</v>
      </c>
      <c r="E10" s="11" t="s">
        <v>13</v>
      </c>
      <c r="F10" s="11" t="s">
        <v>14</v>
      </c>
      <c r="G10" s="12" t="s">
        <v>15</v>
      </c>
    </row>
    <row r="11" spans="1:7" ht="16" thickBot="1" x14ac:dyDescent="0.4">
      <c r="A11" s="13" t="s">
        <v>150</v>
      </c>
      <c r="B11" s="1"/>
      <c r="C11" s="2"/>
      <c r="D11" s="4">
        <f>SUM(B11)-C11</f>
        <v>0</v>
      </c>
      <c r="E11" s="3"/>
      <c r="F11" s="2"/>
      <c r="G11" s="5">
        <f>SUM(E11)-F11</f>
        <v>0</v>
      </c>
    </row>
    <row r="12" spans="1:7" ht="16" thickBot="1" x14ac:dyDescent="0.4">
      <c r="A12" s="13" t="s">
        <v>151</v>
      </c>
      <c r="B12" s="1"/>
      <c r="C12" s="1"/>
      <c r="D12" s="4">
        <f>SUM(B12)-C12</f>
        <v>0</v>
      </c>
      <c r="E12" s="1"/>
      <c r="F12" s="1"/>
      <c r="G12" s="5">
        <f>SUM(E12)-F12</f>
        <v>0</v>
      </c>
    </row>
    <row r="13" spans="1:7" x14ac:dyDescent="0.35">
      <c r="A13" s="14"/>
    </row>
    <row r="14" spans="1:7" x14ac:dyDescent="0.35">
      <c r="A14" s="15" t="s">
        <v>135</v>
      </c>
      <c r="B14" s="16"/>
      <c r="C14" s="62"/>
      <c r="D14" s="63"/>
      <c r="E14" s="63"/>
      <c r="F14" s="63"/>
      <c r="G14" s="63"/>
    </row>
    <row r="15" spans="1:7" ht="31.5" customHeight="1" x14ac:dyDescent="0.35">
      <c r="A15" s="17" t="s">
        <v>134</v>
      </c>
      <c r="B15" s="18">
        <f>SUM((D11+D12)/2)*2.58*190</f>
        <v>0</v>
      </c>
      <c r="C15" s="55" t="s">
        <v>152</v>
      </c>
      <c r="D15" s="56"/>
      <c r="E15" s="56"/>
      <c r="F15" s="56"/>
      <c r="G15" s="56"/>
    </row>
    <row r="16" spans="1:7" ht="31.5" customHeight="1" x14ac:dyDescent="0.35">
      <c r="A16" s="17" t="s">
        <v>136</v>
      </c>
      <c r="B16" s="18">
        <f>(SUM((G11+G12)/2)*2.58*190)</f>
        <v>0</v>
      </c>
      <c r="C16" s="55" t="s">
        <v>153</v>
      </c>
      <c r="D16" s="56"/>
      <c r="E16" s="56"/>
      <c r="F16" s="56"/>
      <c r="G16" s="56"/>
    </row>
    <row r="17" spans="1:7" ht="21" customHeight="1" x14ac:dyDescent="0.35">
      <c r="A17" s="17" t="s">
        <v>137</v>
      </c>
      <c r="B17" s="18">
        <f>SUM((G12))*2.58*190</f>
        <v>0</v>
      </c>
      <c r="C17" s="55" t="s">
        <v>154</v>
      </c>
      <c r="D17" s="56"/>
      <c r="E17" s="56"/>
      <c r="F17" s="56"/>
      <c r="G17" s="56"/>
    </row>
    <row r="18" spans="1:7" ht="33" customHeight="1" x14ac:dyDescent="0.35">
      <c r="A18" s="19" t="s">
        <v>16</v>
      </c>
      <c r="B18" s="18">
        <f>IF(B17&gt;B16,B17,B16)+B15</f>
        <v>0</v>
      </c>
      <c r="C18" s="55"/>
      <c r="D18" s="56"/>
      <c r="E18" s="56"/>
      <c r="F18" s="56"/>
      <c r="G18" s="56"/>
    </row>
    <row r="19" spans="1:7" x14ac:dyDescent="0.35">
      <c r="C19" s="25"/>
      <c r="D19" s="25"/>
      <c r="E19" s="25"/>
      <c r="F19" s="25"/>
      <c r="G19" s="25"/>
    </row>
    <row r="20" spans="1:7" ht="31" x14ac:dyDescent="0.35">
      <c r="A20" s="20" t="s">
        <v>17</v>
      </c>
      <c r="B20" s="21" t="s">
        <v>18</v>
      </c>
      <c r="C20" s="57" t="s">
        <v>19</v>
      </c>
      <c r="D20" s="57"/>
      <c r="E20" s="57"/>
      <c r="F20" s="57"/>
      <c r="G20" s="57"/>
    </row>
    <row r="21" spans="1:7" x14ac:dyDescent="0.35">
      <c r="A21" s="22" t="s">
        <v>20</v>
      </c>
      <c r="B21" s="23">
        <f>B18/12*7</f>
        <v>0</v>
      </c>
      <c r="C21" s="50" t="s">
        <v>21</v>
      </c>
      <c r="D21" s="51"/>
      <c r="E21" s="51"/>
      <c r="F21" s="51"/>
      <c r="G21" s="51"/>
    </row>
    <row r="22" spans="1:7" x14ac:dyDescent="0.35">
      <c r="A22" s="22" t="s">
        <v>22</v>
      </c>
      <c r="B22" s="23" t="str">
        <f>IFERROR(VLOOKUP(F7,Data!B4:C62,2,0),"")</f>
        <v/>
      </c>
      <c r="C22" s="50" t="s">
        <v>155</v>
      </c>
      <c r="D22" s="51"/>
      <c r="E22" s="51"/>
      <c r="F22" s="51"/>
      <c r="G22" s="51"/>
    </row>
    <row r="23" spans="1:7" ht="33.75" customHeight="1" x14ac:dyDescent="0.35">
      <c r="A23" s="27" t="s">
        <v>138</v>
      </c>
      <c r="B23" s="28" t="str">
        <f>IFERROR(B21-B22,"")</f>
        <v/>
      </c>
      <c r="C23" s="52" t="s">
        <v>139</v>
      </c>
      <c r="D23" s="53"/>
      <c r="E23" s="53"/>
      <c r="F23" s="53"/>
      <c r="G23" s="53"/>
    </row>
    <row r="24" spans="1:7" ht="16" thickBot="1" x14ac:dyDescent="0.4">
      <c r="B24" s="24" t="str">
        <f>IF(B23&lt;0,"Creditor","Debtor")</f>
        <v>Debtor</v>
      </c>
    </row>
    <row r="25" spans="1:7" x14ac:dyDescent="0.35">
      <c r="A25" s="26" t="s">
        <v>23</v>
      </c>
      <c r="C25" s="33" t="s">
        <v>24</v>
      </c>
      <c r="D25" s="34"/>
    </row>
    <row r="26" spans="1:7" x14ac:dyDescent="0.35">
      <c r="A26" t="s">
        <v>25</v>
      </c>
      <c r="C26" s="35" t="str">
        <f>IF(B24="Creditor","DR   4190382","DR   DR01")</f>
        <v>DR   DR01</v>
      </c>
      <c r="D26" s="36" t="str">
        <f>IF(B24="creditor",-B23,B23)</f>
        <v/>
      </c>
    </row>
    <row r="27" spans="1:7" ht="16" thickBot="1" x14ac:dyDescent="0.4">
      <c r="A27" s="48" t="s">
        <v>140</v>
      </c>
      <c r="C27" s="37" t="str">
        <f>IF(B24="Creditor","CR   CR01","CR   4190382")</f>
        <v>CR   4190382</v>
      </c>
      <c r="D27" s="38" t="str">
        <f>IFERROR(-D26,"")</f>
        <v/>
      </c>
    </row>
    <row r="28" spans="1:7" x14ac:dyDescent="0.35">
      <c r="A28" s="48"/>
    </row>
  </sheetData>
  <sheetProtection algorithmName="SHA-512" hashValue="6o8Kfdr6uCCV1y0I7Y8CSfIKKze05NVMEoQkqpANUMX/8xgEEP13pGu39k/UBMyhZh3+ytPFqZAa/Suk4MCuqw==" saltValue="lAMe5JPqBkTQZNThERYteg==" spinCount="100000" sheet="1" selectLockedCells="1"/>
  <mergeCells count="15">
    <mergeCell ref="A27:A28"/>
    <mergeCell ref="A1:G1"/>
    <mergeCell ref="C21:G21"/>
    <mergeCell ref="C22:G22"/>
    <mergeCell ref="C23:G23"/>
    <mergeCell ref="A3:G3"/>
    <mergeCell ref="C18:G18"/>
    <mergeCell ref="C20:G20"/>
    <mergeCell ref="F7:G7"/>
    <mergeCell ref="B7:E7"/>
    <mergeCell ref="C14:G14"/>
    <mergeCell ref="C15:G15"/>
    <mergeCell ref="C16:G16"/>
    <mergeCell ref="C17:G17"/>
    <mergeCell ref="A5:G5"/>
  </mergeCells>
  <conditionalFormatting sqref="B7:E7">
    <cfRule type="expression" dxfId="7" priority="1">
      <formula>$B$7="Select your school here"</formula>
    </cfRule>
  </conditionalFormatting>
  <pageMargins left="0.15748031496062992" right="0.15748031496062992" top="0.19685039370078741" bottom="0.19685039370078741" header="0.11811023622047245" footer="0.11811023622047245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Data!$A$3:$A$62</xm:f>
          </x14:formula1>
          <xm:sqref>B7:E7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6"/>
  <sheetViews>
    <sheetView topLeftCell="A26" workbookViewId="0">
      <selection activeCell="C1" sqref="C1"/>
    </sheetView>
  </sheetViews>
  <sheetFormatPr defaultColWidth="8.69140625" defaultRowHeight="12.5" x14ac:dyDescent="0.25"/>
  <cols>
    <col min="1" max="1" width="26.69140625" style="29" bestFit="1" customWidth="1"/>
    <col min="2" max="2" width="5.3046875" style="30" customWidth="1"/>
    <col min="3" max="3" width="9.53515625" style="29" customWidth="1"/>
    <col min="4" max="4" width="1.23046875" style="29" customWidth="1"/>
    <col min="5" max="5" width="8.69140625" style="29"/>
    <col min="6" max="6" width="10.84375" style="29" customWidth="1"/>
    <col min="7" max="7" width="6.07421875" style="29" bestFit="1" customWidth="1"/>
    <col min="8" max="8" width="8.69140625" style="29"/>
    <col min="9" max="9" width="31.69140625" style="29" bestFit="1" customWidth="1"/>
    <col min="10" max="16384" width="8.69140625" style="29"/>
  </cols>
  <sheetData>
    <row r="1" spans="1:10" ht="37.5" x14ac:dyDescent="0.25">
      <c r="A1" s="40"/>
      <c r="B1" s="41"/>
      <c r="C1" s="42" t="s">
        <v>142</v>
      </c>
      <c r="D1" s="40"/>
      <c r="E1" s="40"/>
      <c r="F1" s="40"/>
      <c r="G1" s="40"/>
      <c r="H1" s="40" t="s">
        <v>148</v>
      </c>
      <c r="I1" s="40"/>
      <c r="J1" s="40"/>
    </row>
    <row r="2" spans="1:10" x14ac:dyDescent="0.25">
      <c r="A2" s="40"/>
      <c r="B2" s="41"/>
      <c r="C2" s="40"/>
      <c r="D2" s="40"/>
      <c r="E2" s="40"/>
      <c r="F2" s="40"/>
      <c r="G2" s="40"/>
      <c r="H2" s="40"/>
      <c r="I2" s="40"/>
      <c r="J2" s="40"/>
    </row>
    <row r="3" spans="1:10" x14ac:dyDescent="0.25">
      <c r="A3" s="40" t="s">
        <v>1</v>
      </c>
      <c r="B3" s="41"/>
      <c r="C3" s="40"/>
      <c r="D3" s="40"/>
      <c r="E3" s="40"/>
      <c r="F3" s="40"/>
      <c r="G3" s="40"/>
      <c r="H3" s="40"/>
      <c r="I3" s="40"/>
      <c r="J3" s="40"/>
    </row>
    <row r="4" spans="1:10" ht="13" x14ac:dyDescent="0.3">
      <c r="A4" s="43" t="s">
        <v>32</v>
      </c>
      <c r="B4" s="44" t="s">
        <v>33</v>
      </c>
      <c r="C4" s="45">
        <f>VLOOKUP(A4,[1]UIFSM!$F:$L,7,FALSE)</f>
        <v>20050</v>
      </c>
      <c r="D4" s="40"/>
      <c r="E4" s="40"/>
      <c r="F4" s="40"/>
      <c r="G4" s="40" t="s">
        <v>33</v>
      </c>
      <c r="H4" s="40" t="s">
        <v>32</v>
      </c>
      <c r="I4" s="40"/>
      <c r="J4" s="40">
        <f>VLOOKUP(H4,[1]UIFSM!$F:$J,5,FALSE)</f>
        <v>34371</v>
      </c>
    </row>
    <row r="5" spans="1:10" ht="13" x14ac:dyDescent="0.3">
      <c r="A5" s="43" t="s">
        <v>34</v>
      </c>
      <c r="B5" s="44" t="s">
        <v>35</v>
      </c>
      <c r="C5" s="45">
        <f>VLOOKUP(A5,[1]UIFSM!$F:$L,7,FALSE)</f>
        <v>16404</v>
      </c>
      <c r="D5" s="40"/>
      <c r="E5" s="40"/>
      <c r="F5" s="40"/>
      <c r="G5" s="40" t="s">
        <v>35</v>
      </c>
      <c r="H5" s="40" t="s">
        <v>34</v>
      </c>
      <c r="I5" s="40"/>
      <c r="J5" s="40">
        <f>VLOOKUP(H5,[1]UIFSM!$F:$J,5,FALSE)</f>
        <v>28121</v>
      </c>
    </row>
    <row r="6" spans="1:10" ht="13" x14ac:dyDescent="0.3">
      <c r="A6" s="43" t="s">
        <v>38</v>
      </c>
      <c r="B6" s="44" t="s">
        <v>39</v>
      </c>
      <c r="C6" s="45">
        <f>VLOOKUP(A6,[1]UIFSM!$F:$L,7,FALSE)</f>
        <v>8974</v>
      </c>
      <c r="D6" s="40"/>
      <c r="E6" s="40"/>
      <c r="F6" s="40"/>
      <c r="G6" s="40" t="s">
        <v>39</v>
      </c>
      <c r="H6" s="40" t="s">
        <v>38</v>
      </c>
      <c r="I6" s="40"/>
      <c r="J6" s="40">
        <f>VLOOKUP(H6,[1]UIFSM!$F:$J,5,FALSE)</f>
        <v>15383</v>
      </c>
    </row>
    <row r="7" spans="1:10" ht="13" x14ac:dyDescent="0.3">
      <c r="A7" s="43" t="s">
        <v>42</v>
      </c>
      <c r="B7" s="44" t="s">
        <v>43</v>
      </c>
      <c r="C7" s="45">
        <f>VLOOKUP(A7,[1]UIFSM!$F:$L,7,FALSE)</f>
        <v>6871</v>
      </c>
      <c r="D7" s="40"/>
      <c r="E7" s="40"/>
      <c r="F7" s="40"/>
      <c r="G7" s="40" t="s">
        <v>43</v>
      </c>
      <c r="H7" s="40" t="s">
        <v>42</v>
      </c>
      <c r="I7" s="40"/>
      <c r="J7" s="40">
        <f>VLOOKUP(H7,[1]UIFSM!$F:$J,5,FALSE)</f>
        <v>11778</v>
      </c>
    </row>
    <row r="8" spans="1:10" ht="13" x14ac:dyDescent="0.3">
      <c r="A8" s="43" t="s">
        <v>46</v>
      </c>
      <c r="B8" s="44" t="s">
        <v>47</v>
      </c>
      <c r="C8" s="45">
        <f>VLOOKUP(A8,[1]UIFSM!$F:$L,7,FALSE)</f>
        <v>124362</v>
      </c>
      <c r="D8" s="40"/>
      <c r="E8" s="40"/>
      <c r="F8" s="40"/>
      <c r="G8" s="40" t="s">
        <v>47</v>
      </c>
      <c r="H8" s="40" t="s">
        <v>46</v>
      </c>
      <c r="I8" s="40"/>
      <c r="J8" s="40">
        <f>VLOOKUP(H8,[1]UIFSM!$F:$J,5,FALSE)</f>
        <v>213191</v>
      </c>
    </row>
    <row r="9" spans="1:10" ht="13" x14ac:dyDescent="0.3">
      <c r="A9" s="43"/>
      <c r="B9" s="44"/>
      <c r="C9" s="45"/>
      <c r="D9" s="40"/>
      <c r="E9" s="40"/>
      <c r="F9" s="40"/>
      <c r="G9" s="40" t="s">
        <v>48</v>
      </c>
      <c r="H9" s="40" t="s">
        <v>49</v>
      </c>
      <c r="I9" s="40"/>
      <c r="J9" s="40">
        <f>VLOOKUP(H9,[1]UIFSM!$F:$J,5,FALSE)</f>
        <v>49513</v>
      </c>
    </row>
    <row r="10" spans="1:10" ht="13" x14ac:dyDescent="0.3">
      <c r="A10" s="43" t="s">
        <v>49</v>
      </c>
      <c r="B10" s="44" t="s">
        <v>48</v>
      </c>
      <c r="C10" s="45">
        <f>VLOOKUP(A10,[1]UIFSM!$F:$L,7,FALSE)</f>
        <v>28883</v>
      </c>
      <c r="D10" s="40"/>
      <c r="E10" s="40"/>
      <c r="F10" s="40"/>
      <c r="G10" s="40" t="s">
        <v>55</v>
      </c>
      <c r="H10" s="40" t="s">
        <v>54</v>
      </c>
      <c r="I10" s="40"/>
      <c r="J10" s="40">
        <f>VLOOKUP(H10,[1]UIFSM!$F:$J,5,FALSE)</f>
        <v>65376</v>
      </c>
    </row>
    <row r="11" spans="1:10" ht="13" x14ac:dyDescent="0.3">
      <c r="A11" s="43" t="s">
        <v>54</v>
      </c>
      <c r="B11" s="44" t="s">
        <v>55</v>
      </c>
      <c r="C11" s="45">
        <f>VLOOKUP(A11,[1]UIFSM!$F:$L,7,FALSE)</f>
        <v>38136</v>
      </c>
      <c r="D11" s="40"/>
      <c r="E11" s="40"/>
      <c r="F11" s="40"/>
      <c r="G11" s="40" t="s">
        <v>44</v>
      </c>
      <c r="H11" s="40" t="s">
        <v>45</v>
      </c>
      <c r="I11" s="40"/>
      <c r="J11" s="40">
        <f>VLOOKUP(H11,[1]UIFSM!$F:$J,5,FALSE)</f>
        <v>12739</v>
      </c>
    </row>
    <row r="12" spans="1:10" ht="13" x14ac:dyDescent="0.3">
      <c r="A12" s="43" t="s">
        <v>45</v>
      </c>
      <c r="B12" s="44" t="s">
        <v>44</v>
      </c>
      <c r="C12" s="45">
        <f>VLOOKUP(A12,[1]UIFSM!$F:$L,7,FALSE)</f>
        <v>7432</v>
      </c>
      <c r="D12" s="40"/>
      <c r="E12" s="40"/>
      <c r="F12" s="40"/>
      <c r="G12" s="40" t="s">
        <v>59</v>
      </c>
      <c r="H12" s="40" t="s">
        <v>58</v>
      </c>
      <c r="I12" s="40"/>
      <c r="J12" s="40">
        <f>VLOOKUP(H12,[1]UIFSM!$F:$J,5,FALSE)</f>
        <v>32928</v>
      </c>
    </row>
    <row r="13" spans="1:10" ht="13" x14ac:dyDescent="0.3">
      <c r="A13" s="43" t="s">
        <v>58</v>
      </c>
      <c r="B13" s="44" t="s">
        <v>59</v>
      </c>
      <c r="C13" s="45">
        <f>VLOOKUP(A13,[1]UIFSM!$F:$L,7,FALSE)</f>
        <v>19208</v>
      </c>
      <c r="D13" s="40"/>
      <c r="E13" s="40"/>
      <c r="F13" s="40"/>
      <c r="G13" s="40" t="s">
        <v>63</v>
      </c>
      <c r="H13" s="40" t="s">
        <v>62</v>
      </c>
      <c r="I13" s="40"/>
      <c r="J13" s="40">
        <f>VLOOKUP(H13,[1]UIFSM!$F:$J,5,FALSE)</f>
        <v>21392</v>
      </c>
    </row>
    <row r="14" spans="1:10" ht="13" x14ac:dyDescent="0.3">
      <c r="A14" s="43" t="s">
        <v>62</v>
      </c>
      <c r="B14" s="44" t="s">
        <v>63</v>
      </c>
      <c r="C14" s="45">
        <f>VLOOKUP(A14,[1]UIFSM!$F:$L,7,FALSE)</f>
        <v>12479</v>
      </c>
      <c r="D14" s="40"/>
      <c r="E14" s="40"/>
      <c r="F14" s="40"/>
      <c r="G14" s="40" t="s">
        <v>67</v>
      </c>
      <c r="H14" s="40" t="s">
        <v>66</v>
      </c>
      <c r="I14" s="40"/>
      <c r="J14" s="40">
        <f>VLOOKUP(H14,[1]UIFSM!$F:$J,5,FALSE)</f>
        <v>16344</v>
      </c>
    </row>
    <row r="15" spans="1:10" ht="13" x14ac:dyDescent="0.3">
      <c r="A15" s="43" t="s">
        <v>66</v>
      </c>
      <c r="B15" s="44" t="s">
        <v>67</v>
      </c>
      <c r="C15" s="45">
        <f>VLOOKUP(A15,[1]UIFSM!$F:$L,7,FALSE)</f>
        <v>9534</v>
      </c>
      <c r="D15" s="40"/>
      <c r="E15" s="40"/>
      <c r="F15" s="40"/>
      <c r="G15" s="40" t="s">
        <v>71</v>
      </c>
      <c r="H15" s="40" t="s">
        <v>70</v>
      </c>
      <c r="I15" s="40"/>
      <c r="J15" s="40">
        <f>VLOOKUP(H15,[1]UIFSM!$F:$J,5,FALSE)</f>
        <v>28121</v>
      </c>
    </row>
    <row r="16" spans="1:10" ht="13" x14ac:dyDescent="0.3">
      <c r="A16" s="43"/>
      <c r="B16" s="44"/>
      <c r="C16" s="45"/>
      <c r="D16" s="40"/>
      <c r="E16" s="40"/>
      <c r="F16" s="40"/>
      <c r="G16" s="40" t="s">
        <v>75</v>
      </c>
      <c r="H16" s="40" t="s">
        <v>74</v>
      </c>
      <c r="I16" s="40"/>
      <c r="J16" s="40">
        <f>VLOOKUP(H16,[1]UIFSM!$F:$J,5,FALSE)</f>
        <v>13460</v>
      </c>
    </row>
    <row r="17" spans="1:10" ht="13" x14ac:dyDescent="0.3">
      <c r="A17" s="43" t="s">
        <v>70</v>
      </c>
      <c r="B17" s="44" t="s">
        <v>71</v>
      </c>
      <c r="C17" s="45">
        <f>VLOOKUP(A17,[1]UIFSM!$F:$L,7,FALSE)</f>
        <v>16404</v>
      </c>
      <c r="D17" s="40"/>
      <c r="E17" s="40"/>
      <c r="F17" s="40"/>
      <c r="G17" s="40" t="s">
        <v>77</v>
      </c>
      <c r="H17" s="40" t="s">
        <v>76</v>
      </c>
      <c r="I17" s="40"/>
      <c r="J17" s="40">
        <f>VLOOKUP(H17,[1]UIFSM!$F:$J,5,FALSE)</f>
        <v>37255</v>
      </c>
    </row>
    <row r="18" spans="1:10" ht="13" x14ac:dyDescent="0.3">
      <c r="A18" s="43" t="s">
        <v>74</v>
      </c>
      <c r="B18" s="44" t="s">
        <v>75</v>
      </c>
      <c r="C18" s="45">
        <f>VLOOKUP(A18,[1]UIFSM!$F:$L,7,FALSE)</f>
        <v>7852</v>
      </c>
      <c r="D18" s="40"/>
      <c r="E18" s="40"/>
      <c r="F18" s="40"/>
      <c r="G18" s="40" t="s">
        <v>81</v>
      </c>
      <c r="H18" s="40" t="s">
        <v>80</v>
      </c>
      <c r="I18" s="40"/>
      <c r="J18" s="40">
        <f>VLOOKUP(H18,[1]UIFSM!$F:$J,5,FALSE)</f>
        <v>72827</v>
      </c>
    </row>
    <row r="19" spans="1:10" ht="13" x14ac:dyDescent="0.3">
      <c r="A19" s="43" t="s">
        <v>76</v>
      </c>
      <c r="B19" s="44" t="s">
        <v>77</v>
      </c>
      <c r="C19" s="45">
        <f>VLOOKUP(A19,[1]UIFSM!$F:$L,7,FALSE)</f>
        <v>21733</v>
      </c>
      <c r="D19" s="40"/>
      <c r="E19" s="40"/>
      <c r="F19" s="40"/>
      <c r="G19" s="40" t="s">
        <v>85</v>
      </c>
      <c r="H19" s="40" t="s">
        <v>84</v>
      </c>
      <c r="I19" s="40"/>
      <c r="J19" s="40">
        <f>VLOOKUP(H19,[1]UIFSM!$F:$J,5,FALSE)</f>
        <v>63213</v>
      </c>
    </row>
    <row r="20" spans="1:10" ht="13" x14ac:dyDescent="0.3">
      <c r="A20" s="43" t="s">
        <v>80</v>
      </c>
      <c r="B20" s="44" t="s">
        <v>81</v>
      </c>
      <c r="C20" s="45">
        <f>VLOOKUP(A20,[1]UIFSM!$F:$L,7,FALSE)</f>
        <v>42483</v>
      </c>
      <c r="D20" s="40"/>
      <c r="E20" s="40"/>
      <c r="F20" s="40"/>
      <c r="G20" s="40" t="s">
        <v>78</v>
      </c>
      <c r="H20" s="40" t="s">
        <v>79</v>
      </c>
      <c r="I20" s="40"/>
      <c r="J20" s="40">
        <f>VLOOKUP(H20,[1]UIFSM!$F:$J,5,FALSE)</f>
        <v>49032</v>
      </c>
    </row>
    <row r="21" spans="1:10" ht="13" x14ac:dyDescent="0.3">
      <c r="A21" s="43" t="s">
        <v>84</v>
      </c>
      <c r="B21" s="44" t="s">
        <v>85</v>
      </c>
      <c r="C21" s="45">
        <f>VLOOKUP(A21,[1]UIFSM!$F:$L,7,FALSE)</f>
        <v>36875</v>
      </c>
      <c r="D21" s="40"/>
      <c r="E21" s="40"/>
      <c r="F21" s="40"/>
      <c r="G21" s="40" t="s">
        <v>87</v>
      </c>
      <c r="H21" s="40" t="s">
        <v>86</v>
      </c>
      <c r="I21" s="40"/>
      <c r="J21" s="40">
        <f>VLOOKUP(H21,[1]UIFSM!$F:$J,5,FALSE)</f>
        <v>52877</v>
      </c>
    </row>
    <row r="22" spans="1:10" ht="13" x14ac:dyDescent="0.3">
      <c r="A22" s="43" t="s">
        <v>79</v>
      </c>
      <c r="B22" s="44" t="s">
        <v>78</v>
      </c>
      <c r="C22" s="45">
        <f>VLOOKUP(A22,[1]UIFSM!$F:$L,7,FALSE)</f>
        <v>28602</v>
      </c>
      <c r="D22" s="40"/>
      <c r="E22" s="40"/>
      <c r="F22" s="40"/>
      <c r="G22" s="40" t="s">
        <v>72</v>
      </c>
      <c r="H22" s="40" t="s">
        <v>73</v>
      </c>
      <c r="I22" s="40"/>
      <c r="J22" s="40">
        <f>VLOOKUP(H22,[1]UIFSM!$F:$J,5,FALSE)</f>
        <v>25958</v>
      </c>
    </row>
    <row r="23" spans="1:10" ht="13" x14ac:dyDescent="0.3">
      <c r="A23" s="43" t="s">
        <v>86</v>
      </c>
      <c r="B23" s="44" t="s">
        <v>87</v>
      </c>
      <c r="C23" s="45">
        <f>VLOOKUP(A23,[1]UIFSM!$F:$L,7,FALSE)</f>
        <v>30845</v>
      </c>
      <c r="D23" s="40"/>
      <c r="E23" s="40"/>
      <c r="F23" s="40"/>
      <c r="G23" s="40" t="s">
        <v>50</v>
      </c>
      <c r="H23" s="40" t="s">
        <v>51</v>
      </c>
      <c r="I23" s="40"/>
      <c r="J23" s="40">
        <f>VLOOKUP(H23,[1]UIFSM!$F:$J,5,FALSE)</f>
        <v>26199</v>
      </c>
    </row>
    <row r="24" spans="1:10" ht="13" x14ac:dyDescent="0.3">
      <c r="A24" s="43" t="s">
        <v>73</v>
      </c>
      <c r="B24" s="44" t="s">
        <v>72</v>
      </c>
      <c r="C24" s="45">
        <f>VLOOKUP(A24,[1]UIFSM!$F:$L,7,FALSE)</f>
        <v>15143</v>
      </c>
      <c r="D24" s="40"/>
      <c r="E24" s="40"/>
      <c r="F24" s="40"/>
      <c r="G24" s="40" t="s">
        <v>52</v>
      </c>
      <c r="H24" s="40" t="s">
        <v>53</v>
      </c>
      <c r="I24" s="40"/>
      <c r="J24" s="40">
        <f>VLOOKUP(H24,[1]UIFSM!$F:$J,5,FALSE)</f>
        <v>28121</v>
      </c>
    </row>
    <row r="25" spans="1:10" ht="13" x14ac:dyDescent="0.3">
      <c r="A25" s="43" t="s">
        <v>51</v>
      </c>
      <c r="B25" s="44" t="s">
        <v>50</v>
      </c>
      <c r="C25" s="45">
        <f>VLOOKUP(A25,[1]UIFSM!$F:$L,7,FALSE)</f>
        <v>15283</v>
      </c>
      <c r="D25" s="40"/>
      <c r="E25" s="40"/>
      <c r="F25" s="40"/>
      <c r="G25" s="40" t="s">
        <v>92</v>
      </c>
      <c r="H25" s="40" t="s">
        <v>93</v>
      </c>
      <c r="I25" s="40"/>
      <c r="J25" s="40">
        <f>VLOOKUP(H25,[1]UIFSM!$F:$J,5,FALSE)</f>
        <v>22593</v>
      </c>
    </row>
    <row r="26" spans="1:10" ht="13" x14ac:dyDescent="0.3">
      <c r="A26" s="43" t="s">
        <v>53</v>
      </c>
      <c r="B26" s="44" t="s">
        <v>52</v>
      </c>
      <c r="C26" s="45">
        <f>VLOOKUP(A26,[1]UIFSM!$F:$L,7,FALSE)</f>
        <v>16404</v>
      </c>
      <c r="D26" s="40"/>
      <c r="E26" s="40"/>
      <c r="F26" s="40"/>
      <c r="G26" s="40" t="s">
        <v>36</v>
      </c>
      <c r="H26" s="40" t="s">
        <v>37</v>
      </c>
      <c r="I26" s="40"/>
      <c r="J26" s="40">
        <f>VLOOKUP(H26,[1]UIFSM!$F:$J,5,FALSE)</f>
        <v>67539</v>
      </c>
    </row>
    <row r="27" spans="1:10" ht="13" x14ac:dyDescent="0.3">
      <c r="A27" s="43" t="s">
        <v>93</v>
      </c>
      <c r="B27" s="44" t="s">
        <v>92</v>
      </c>
      <c r="C27" s="45">
        <f>VLOOKUP(A27,[1]UIFSM!$F:$L,7,FALSE)</f>
        <v>13180</v>
      </c>
      <c r="D27" s="40"/>
      <c r="E27" s="40"/>
      <c r="F27" s="40"/>
      <c r="G27" s="40" t="s">
        <v>40</v>
      </c>
      <c r="H27" s="40" t="s">
        <v>41</v>
      </c>
      <c r="I27" s="40"/>
      <c r="J27" s="40">
        <f>VLOOKUP(H27,[1]UIFSM!$F:$J,5,FALSE)</f>
        <v>49272</v>
      </c>
    </row>
    <row r="28" spans="1:10" ht="13" x14ac:dyDescent="0.3">
      <c r="A28" s="43" t="s">
        <v>37</v>
      </c>
      <c r="B28" s="44" t="s">
        <v>36</v>
      </c>
      <c r="C28" s="45">
        <f>VLOOKUP(A28,[1]UIFSM!$F:$L,7,FALSE)</f>
        <v>39398</v>
      </c>
      <c r="D28" s="40"/>
      <c r="E28" s="40"/>
      <c r="F28" s="40"/>
      <c r="G28" s="40" t="s">
        <v>99</v>
      </c>
      <c r="H28" s="40" t="s">
        <v>98</v>
      </c>
      <c r="I28" s="40"/>
      <c r="J28" s="40">
        <f>VLOOKUP(H28,[1]UIFSM!$F:$J,5,FALSE)</f>
        <v>59367</v>
      </c>
    </row>
    <row r="29" spans="1:10" ht="13" x14ac:dyDescent="0.3">
      <c r="A29" s="43"/>
      <c r="B29" s="44"/>
      <c r="C29" s="45"/>
      <c r="D29" s="40"/>
      <c r="E29" s="40"/>
      <c r="F29" s="40"/>
      <c r="G29" s="40" t="s">
        <v>28</v>
      </c>
      <c r="H29" s="40" t="s">
        <v>29</v>
      </c>
      <c r="I29" s="40"/>
      <c r="J29" s="40">
        <f>VLOOKUP(H29,[1]UIFSM!$F:$J,5,FALSE)</f>
        <v>57204</v>
      </c>
    </row>
    <row r="30" spans="1:10" ht="13" x14ac:dyDescent="0.3">
      <c r="A30" s="43" t="s">
        <v>41</v>
      </c>
      <c r="B30" s="44" t="s">
        <v>40</v>
      </c>
      <c r="C30" s="45">
        <f>VLOOKUP(A30,[1]UIFSM!$F:$L,7,FALSE)</f>
        <v>28742</v>
      </c>
      <c r="D30" s="40"/>
      <c r="E30" s="40"/>
      <c r="F30" s="40"/>
      <c r="G30" s="40" t="s">
        <v>101</v>
      </c>
      <c r="H30" s="40" t="s">
        <v>100</v>
      </c>
      <c r="I30" s="40"/>
      <c r="J30" s="40">
        <f>VLOOKUP(H30,[1]UIFSM!$F:$J,5,FALSE)</f>
        <v>8172</v>
      </c>
    </row>
    <row r="31" spans="1:10" ht="13" x14ac:dyDescent="0.3">
      <c r="A31" s="43" t="s">
        <v>98</v>
      </c>
      <c r="B31" s="44" t="s">
        <v>99</v>
      </c>
      <c r="C31" s="45">
        <f>VLOOKUP(A31,[1]UIFSM!$F:$L,7,FALSE)</f>
        <v>34631</v>
      </c>
      <c r="D31" s="40"/>
      <c r="E31" s="40"/>
      <c r="F31" s="40"/>
      <c r="G31" s="40" t="s">
        <v>103</v>
      </c>
      <c r="H31" s="40" t="s">
        <v>102</v>
      </c>
      <c r="I31" s="40"/>
      <c r="J31" s="40">
        <f>VLOOKUP(H31,[1]UIFSM!$F:$J,5,FALSE)</f>
        <v>80037</v>
      </c>
    </row>
    <row r="32" spans="1:10" ht="13" x14ac:dyDescent="0.3">
      <c r="A32" s="43" t="s">
        <v>29</v>
      </c>
      <c r="B32" s="44" t="s">
        <v>28</v>
      </c>
      <c r="C32" s="45">
        <f>VLOOKUP(A32,[1]UIFSM!$F:$L,7,FALSE)</f>
        <v>33369</v>
      </c>
      <c r="D32" s="40"/>
      <c r="E32" s="40"/>
      <c r="F32" s="40"/>
      <c r="G32" s="40" t="s">
        <v>105</v>
      </c>
      <c r="H32" s="40" t="s">
        <v>104</v>
      </c>
      <c r="I32" s="40"/>
      <c r="J32" s="40">
        <f>VLOOKUP(H32,[1]UIFSM!$F:$J,5,FALSE)</f>
        <v>11537</v>
      </c>
    </row>
    <row r="33" spans="1:10" ht="13" x14ac:dyDescent="0.3">
      <c r="A33" s="43"/>
      <c r="B33" s="44"/>
      <c r="C33" s="45"/>
      <c r="D33" s="40"/>
      <c r="E33" s="40"/>
      <c r="F33" s="40"/>
      <c r="G33" s="40" t="s">
        <v>56</v>
      </c>
      <c r="H33" s="40" t="s">
        <v>57</v>
      </c>
      <c r="I33" s="40"/>
      <c r="J33" s="40">
        <f>VLOOKUP(H33,[1]UIFSM!$F:$J,5,FALSE)</f>
        <v>45667</v>
      </c>
    </row>
    <row r="34" spans="1:10" ht="13" x14ac:dyDescent="0.3">
      <c r="A34" s="43" t="s">
        <v>100</v>
      </c>
      <c r="B34" s="44" t="s">
        <v>101</v>
      </c>
      <c r="C34" s="45">
        <f>VLOOKUP(A34,[1]UIFSM!$F:$L,7,FALSE)</f>
        <v>4767</v>
      </c>
      <c r="D34" s="40"/>
      <c r="E34" s="40"/>
      <c r="F34" s="40"/>
      <c r="G34" s="40" t="s">
        <v>68</v>
      </c>
      <c r="H34" s="40" t="s">
        <v>69</v>
      </c>
      <c r="I34" s="40"/>
      <c r="J34" s="40">
        <f>VLOOKUP(H34,[1]UIFSM!$F:$J,5,FALSE)</f>
        <v>38937</v>
      </c>
    </row>
    <row r="35" spans="1:10" ht="13" x14ac:dyDescent="0.3">
      <c r="A35" s="43" t="s">
        <v>102</v>
      </c>
      <c r="B35" s="44" t="s">
        <v>103</v>
      </c>
      <c r="C35" s="45">
        <f>VLOOKUP(A35,[1]UIFSM!$F:$L,7,FALSE)</f>
        <v>46689</v>
      </c>
      <c r="D35" s="40"/>
      <c r="E35" s="40"/>
      <c r="F35" s="40"/>
      <c r="G35" s="40" t="s">
        <v>30</v>
      </c>
      <c r="H35" s="40" t="s">
        <v>31</v>
      </c>
      <c r="I35" s="40"/>
      <c r="J35" s="40">
        <f>VLOOKUP(H35,[1]UIFSM!$F:$J,5,FALSE)</f>
        <v>64174</v>
      </c>
    </row>
    <row r="36" spans="1:10" ht="13" x14ac:dyDescent="0.3">
      <c r="A36" s="43" t="s">
        <v>104</v>
      </c>
      <c r="B36" s="44" t="s">
        <v>105</v>
      </c>
      <c r="C36" s="45">
        <f>VLOOKUP(A36,[1]UIFSM!$F:$L,7,FALSE)</f>
        <v>6730</v>
      </c>
      <c r="D36" s="40"/>
      <c r="E36" s="40"/>
      <c r="F36" s="40"/>
      <c r="G36" s="40" t="s">
        <v>90</v>
      </c>
      <c r="H36" s="40" t="s">
        <v>91</v>
      </c>
      <c r="I36" s="40"/>
      <c r="J36" s="40">
        <f>VLOOKUP(H36,[1]UIFSM!$F:$J,5,FALSE)</f>
        <v>15864</v>
      </c>
    </row>
    <row r="37" spans="1:10" ht="13" x14ac:dyDescent="0.3">
      <c r="A37" s="43" t="s">
        <v>57</v>
      </c>
      <c r="B37" s="44" t="s">
        <v>56</v>
      </c>
      <c r="C37" s="45">
        <f>VLOOKUP(A37,[1]UIFSM!$F:$L,7,FALSE)</f>
        <v>26640</v>
      </c>
      <c r="D37" s="40"/>
      <c r="E37" s="40"/>
      <c r="F37" s="40"/>
      <c r="G37" s="40" t="s">
        <v>113</v>
      </c>
      <c r="H37" s="40" t="s">
        <v>112</v>
      </c>
      <c r="I37" s="40"/>
      <c r="J37" s="40">
        <f>VLOOKUP(H37,[1]UIFSM!$F:$J,5,FALSE)</f>
        <v>962</v>
      </c>
    </row>
    <row r="38" spans="1:10" ht="13" x14ac:dyDescent="0.3">
      <c r="A38" s="43" t="s">
        <v>69</v>
      </c>
      <c r="B38" s="44" t="s">
        <v>68</v>
      </c>
      <c r="C38" s="45">
        <f>VLOOKUP(A38,[1]UIFSM!$F:$L,7,FALSE)</f>
        <v>22714</v>
      </c>
      <c r="D38" s="40"/>
      <c r="E38" s="40"/>
      <c r="F38" s="40"/>
      <c r="G38" s="40" t="s">
        <v>60</v>
      </c>
      <c r="H38" s="40" t="s">
        <v>61</v>
      </c>
      <c r="I38" s="40"/>
      <c r="J38" s="40">
        <f>VLOOKUP(H38,[1]UIFSM!$F:$J,5,FALSE)</f>
        <v>56483</v>
      </c>
    </row>
    <row r="39" spans="1:10" ht="13" x14ac:dyDescent="0.3">
      <c r="A39" s="43" t="s">
        <v>31</v>
      </c>
      <c r="B39" s="44" t="s">
        <v>30</v>
      </c>
      <c r="C39" s="45">
        <f>VLOOKUP(A39,[1]UIFSM!$F:$L,7,FALSE)</f>
        <v>37435</v>
      </c>
      <c r="D39" s="40"/>
      <c r="E39" s="40"/>
      <c r="F39" s="40"/>
      <c r="G39" s="40" t="s">
        <v>106</v>
      </c>
      <c r="H39" s="40" t="s">
        <v>107</v>
      </c>
      <c r="I39" s="40"/>
      <c r="J39" s="40">
        <f>VLOOKUP(H39,[1]UIFSM!$F:$J,5,FALSE)</f>
        <v>6250</v>
      </c>
    </row>
    <row r="40" spans="1:10" ht="13" x14ac:dyDescent="0.3">
      <c r="A40" s="43" t="s">
        <v>91</v>
      </c>
      <c r="B40" s="44" t="s">
        <v>90</v>
      </c>
      <c r="C40" s="45">
        <f>VLOOKUP(A40,[1]UIFSM!$F:$L,7,FALSE)</f>
        <v>9254</v>
      </c>
      <c r="D40" s="40"/>
      <c r="E40" s="40"/>
      <c r="F40" s="40"/>
      <c r="G40" s="40" t="s">
        <v>119</v>
      </c>
      <c r="H40" s="40" t="s">
        <v>118</v>
      </c>
      <c r="I40" s="40"/>
      <c r="J40" s="40">
        <f>VLOOKUP(H40,[1]UIFSM!$F:$J,5,FALSE)</f>
        <v>2644</v>
      </c>
    </row>
    <row r="41" spans="1:10" ht="13" x14ac:dyDescent="0.3">
      <c r="A41" s="43"/>
      <c r="B41" s="44"/>
      <c r="C41" s="45"/>
      <c r="D41" s="40"/>
      <c r="E41" s="40"/>
      <c r="F41" s="40"/>
      <c r="G41" s="40" t="s">
        <v>114</v>
      </c>
      <c r="H41" s="40" t="s">
        <v>115</v>
      </c>
      <c r="I41" s="40"/>
      <c r="J41" s="40">
        <f>VLOOKUP(H41,[1]UIFSM!$F:$J,5,FALSE)</f>
        <v>4086</v>
      </c>
    </row>
    <row r="42" spans="1:10" ht="13" x14ac:dyDescent="0.3">
      <c r="A42" s="43" t="s">
        <v>112</v>
      </c>
      <c r="B42" s="44" t="s">
        <v>113</v>
      </c>
      <c r="C42" s="45">
        <f>VLOOKUP(A42,[1]UIFSM!$F:$L,7,FALSE)</f>
        <v>562</v>
      </c>
      <c r="D42" s="40"/>
      <c r="E42" s="40"/>
      <c r="F42" s="40"/>
      <c r="G42" s="40" t="s">
        <v>123</v>
      </c>
      <c r="H42" s="40" t="s">
        <v>122</v>
      </c>
      <c r="I42" s="40"/>
      <c r="J42" s="40">
        <f>VLOOKUP(H42,[1]UIFSM!$F:$J,5,FALSE)</f>
        <v>52397</v>
      </c>
    </row>
    <row r="43" spans="1:10" ht="13" x14ac:dyDescent="0.3">
      <c r="A43" s="43" t="s">
        <v>61</v>
      </c>
      <c r="B43" s="44" t="s">
        <v>60</v>
      </c>
      <c r="C43" s="45">
        <f>VLOOKUP(A43,[1]UIFSM!$F:$L,7,FALSE)</f>
        <v>32949</v>
      </c>
      <c r="D43" s="40"/>
      <c r="E43" s="40"/>
      <c r="F43" s="40"/>
      <c r="G43" s="40" t="s">
        <v>124</v>
      </c>
      <c r="H43" s="40" t="s">
        <v>125</v>
      </c>
      <c r="I43" s="40"/>
      <c r="J43" s="40">
        <f>VLOOKUP(H43,[1]UIFSM!$F:$J,5,FALSE)</f>
        <v>57444</v>
      </c>
    </row>
    <row r="44" spans="1:10" ht="13" x14ac:dyDescent="0.3">
      <c r="A44" s="43" t="s">
        <v>107</v>
      </c>
      <c r="B44" s="44" t="s">
        <v>106</v>
      </c>
      <c r="C44" s="45">
        <f>VLOOKUP(A44,[1]UIFSM!$F:$L,7,FALSE)</f>
        <v>3646</v>
      </c>
      <c r="D44" s="40"/>
      <c r="E44" s="40"/>
      <c r="F44" s="40"/>
      <c r="G44" s="40" t="s">
        <v>110</v>
      </c>
      <c r="H44" s="40" t="s">
        <v>111</v>
      </c>
      <c r="I44" s="40"/>
      <c r="J44" s="40">
        <f>VLOOKUP(H44,[1]UIFSM!$F:$J,5,FALSE)</f>
        <v>47349</v>
      </c>
    </row>
    <row r="45" spans="1:10" ht="13" x14ac:dyDescent="0.3">
      <c r="A45" s="43" t="s">
        <v>118</v>
      </c>
      <c r="B45" s="44" t="s">
        <v>119</v>
      </c>
      <c r="C45" s="45">
        <f>VLOOKUP(A45,[1]UIFSM!$F:$L,7,FALSE)</f>
        <v>1543</v>
      </c>
      <c r="D45" s="40"/>
      <c r="E45" s="40"/>
      <c r="F45" s="40"/>
      <c r="G45" s="40" t="s">
        <v>120</v>
      </c>
      <c r="H45" s="40" t="s">
        <v>121</v>
      </c>
      <c r="I45" s="40"/>
      <c r="J45" s="40">
        <f>VLOOKUP(H45,[1]UIFSM!$F:$J,5,FALSE)</f>
        <v>51676</v>
      </c>
    </row>
    <row r="46" spans="1:10" ht="13" x14ac:dyDescent="0.3">
      <c r="A46" s="43" t="s">
        <v>115</v>
      </c>
      <c r="B46" s="44" t="s">
        <v>114</v>
      </c>
      <c r="C46" s="45">
        <f>VLOOKUP(A46,[1]UIFSM!$F:$L,7,FALSE)</f>
        <v>2384</v>
      </c>
      <c r="D46" s="40"/>
      <c r="E46" s="40"/>
      <c r="F46" s="40"/>
      <c r="G46" s="40" t="s">
        <v>116</v>
      </c>
      <c r="H46" s="40" t="s">
        <v>117</v>
      </c>
      <c r="I46" s="40"/>
      <c r="J46" s="40">
        <f>VLOOKUP(H46,[1]UIFSM!$F:$J,5,FALSE)</f>
        <v>27160</v>
      </c>
    </row>
    <row r="47" spans="1:10" ht="13" x14ac:dyDescent="0.3">
      <c r="A47" s="43" t="s">
        <v>122</v>
      </c>
      <c r="B47" s="44" t="s">
        <v>123</v>
      </c>
      <c r="C47" s="45">
        <f>VLOOKUP(A47,[1]UIFSM!$F:$L,7,FALSE)</f>
        <v>30565</v>
      </c>
      <c r="D47" s="40"/>
      <c r="E47" s="40"/>
      <c r="F47" s="40"/>
      <c r="G47" s="40" t="s">
        <v>108</v>
      </c>
      <c r="H47" s="40" t="s">
        <v>109</v>
      </c>
      <c r="I47" s="40"/>
      <c r="J47" s="40">
        <f>VLOOKUP(H47,[1]UIFSM!$F:$J,5,FALSE)</f>
        <v>6730</v>
      </c>
    </row>
    <row r="48" spans="1:10" ht="13" x14ac:dyDescent="0.3">
      <c r="A48" s="43" t="s">
        <v>125</v>
      </c>
      <c r="B48" s="44" t="s">
        <v>124</v>
      </c>
      <c r="C48" s="45">
        <f>VLOOKUP(A48,[1]UIFSM!$F:$L,7,FALSE)</f>
        <v>33509</v>
      </c>
      <c r="D48" s="40"/>
      <c r="E48" s="40"/>
      <c r="F48" s="40"/>
      <c r="G48" s="40" t="s">
        <v>94</v>
      </c>
      <c r="H48" s="40" t="s">
        <v>95</v>
      </c>
      <c r="I48" s="40"/>
      <c r="J48" s="40">
        <f>VLOOKUP(H48,[1]UIFSM!$F:$J,5,FALSE)</f>
        <v>43985</v>
      </c>
    </row>
    <row r="49" spans="1:10" ht="13" x14ac:dyDescent="0.3">
      <c r="A49" s="43" t="s">
        <v>111</v>
      </c>
      <c r="B49" s="44" t="s">
        <v>110</v>
      </c>
      <c r="C49" s="45">
        <f>VLOOKUP(A49,[1]UIFSM!$F:$L,7,FALSE)</f>
        <v>27621</v>
      </c>
      <c r="D49" s="40"/>
      <c r="E49" s="40"/>
      <c r="F49" s="40"/>
      <c r="G49" s="40" t="s">
        <v>131</v>
      </c>
      <c r="H49" s="40" t="s">
        <v>130</v>
      </c>
      <c r="I49" s="40"/>
      <c r="J49" s="40">
        <f>VLOOKUP(H49,[1]UIFSM!$F:$J,5,FALSE)</f>
        <v>7932</v>
      </c>
    </row>
    <row r="50" spans="1:10" ht="13" x14ac:dyDescent="0.3">
      <c r="A50" s="43" t="s">
        <v>121</v>
      </c>
      <c r="B50" s="44" t="s">
        <v>120</v>
      </c>
      <c r="C50" s="45">
        <f>VLOOKUP(A50,[1]UIFSM!$F:$L,7,FALSE)</f>
        <v>30145</v>
      </c>
      <c r="D50" s="40"/>
      <c r="E50" s="40"/>
      <c r="F50" s="40"/>
      <c r="G50" s="40" t="s">
        <v>88</v>
      </c>
      <c r="H50" s="40" t="s">
        <v>89</v>
      </c>
      <c r="I50" s="40"/>
      <c r="J50" s="40">
        <f>VLOOKUP(H50,[1]UIFSM!$F:$J,5,FALSE)</f>
        <v>29564</v>
      </c>
    </row>
    <row r="51" spans="1:10" ht="13" x14ac:dyDescent="0.3">
      <c r="A51" s="43" t="s">
        <v>117</v>
      </c>
      <c r="B51" s="44" t="s">
        <v>116</v>
      </c>
      <c r="C51" s="45">
        <f>VLOOKUP(A51,[1]UIFSM!$F:$L,7,FALSE)</f>
        <v>15844</v>
      </c>
      <c r="D51" s="40"/>
      <c r="E51" s="40"/>
      <c r="F51" s="40"/>
      <c r="G51" s="40" t="s">
        <v>132</v>
      </c>
      <c r="H51" s="40" t="s">
        <v>144</v>
      </c>
      <c r="I51" s="40"/>
      <c r="J51" s="40">
        <f>VLOOKUP(H51,[1]UIFSM!$F:$J,5,FALSE)</f>
        <v>7451</v>
      </c>
    </row>
    <row r="52" spans="1:10" ht="13" x14ac:dyDescent="0.3">
      <c r="A52" s="43" t="s">
        <v>109</v>
      </c>
      <c r="B52" s="44" t="s">
        <v>108</v>
      </c>
      <c r="C52" s="45">
        <f>VLOOKUP(A52,[1]UIFSM!$F:$L,7,FALSE)</f>
        <v>3926</v>
      </c>
      <c r="D52" s="40"/>
      <c r="E52" s="40"/>
      <c r="F52" s="40"/>
      <c r="G52" s="40" t="s">
        <v>126</v>
      </c>
      <c r="H52" s="40" t="s">
        <v>127</v>
      </c>
      <c r="I52" s="40"/>
      <c r="J52" s="40">
        <f>VLOOKUP(H52,[1]UIFSM!$F:$J,5,FALSE)</f>
        <v>35572</v>
      </c>
    </row>
    <row r="53" spans="1:10" ht="13" x14ac:dyDescent="0.3">
      <c r="A53" s="43" t="s">
        <v>95</v>
      </c>
      <c r="B53" s="44" t="s">
        <v>94</v>
      </c>
      <c r="C53" s="45">
        <f>VLOOKUP(A53,[1]UIFSM!$F:$L,7,FALSE)</f>
        <v>25658</v>
      </c>
      <c r="D53" s="40"/>
      <c r="E53" s="40"/>
      <c r="F53" s="40"/>
      <c r="G53" s="40" t="s">
        <v>26</v>
      </c>
      <c r="H53" s="40" t="s">
        <v>27</v>
      </c>
      <c r="I53" s="40"/>
      <c r="J53" s="40">
        <f>VLOOKUP(H53,[1]UIFSM!$F:$J,5,FALSE)</f>
        <v>52637</v>
      </c>
    </row>
    <row r="54" spans="1:10" ht="13" x14ac:dyDescent="0.3">
      <c r="A54" s="43" t="s">
        <v>130</v>
      </c>
      <c r="B54" s="44" t="s">
        <v>131</v>
      </c>
      <c r="C54" s="45">
        <f>VLOOKUP(A54,[1]UIFSM!$F:$L,7,FALSE)</f>
        <v>4627</v>
      </c>
      <c r="D54" s="40"/>
      <c r="E54" s="40"/>
      <c r="F54" s="40"/>
      <c r="G54" s="40" t="s">
        <v>128</v>
      </c>
      <c r="H54" s="40" t="s">
        <v>129</v>
      </c>
      <c r="I54" s="46"/>
      <c r="J54" s="40">
        <f>VLOOKUP(H54,[1]UIFSM!$F:$J,5,FALSE)</f>
        <v>1443</v>
      </c>
    </row>
    <row r="55" spans="1:10" ht="13" x14ac:dyDescent="0.3">
      <c r="A55" s="43" t="s">
        <v>89</v>
      </c>
      <c r="B55" s="44" t="s">
        <v>88</v>
      </c>
      <c r="C55" s="45">
        <f>VLOOKUP(A55,[1]UIFSM!$F:$L,7,FALSE)</f>
        <v>17246</v>
      </c>
      <c r="D55" s="40"/>
      <c r="E55" s="40"/>
      <c r="F55" s="40"/>
      <c r="G55" s="40" t="s">
        <v>96</v>
      </c>
      <c r="H55" s="40" t="s">
        <v>97</v>
      </c>
      <c r="I55" s="40"/>
      <c r="J55" s="40">
        <f>VLOOKUP(H55,[1]UIFSM!$F:$J,5,FALSE)</f>
        <v>48551</v>
      </c>
    </row>
    <row r="56" spans="1:10" ht="13" x14ac:dyDescent="0.3">
      <c r="A56" s="43" t="s">
        <v>127</v>
      </c>
      <c r="B56" s="44" t="s">
        <v>126</v>
      </c>
      <c r="C56" s="45">
        <f>VLOOKUP(A56,[1]UIFSM!$F:$L,7,FALSE)</f>
        <v>20751</v>
      </c>
      <c r="D56" s="40"/>
      <c r="E56" s="40"/>
      <c r="F56" s="40"/>
      <c r="G56" s="40" t="s">
        <v>82</v>
      </c>
      <c r="H56" s="40" t="s">
        <v>83</v>
      </c>
      <c r="I56" s="40"/>
      <c r="J56" s="40">
        <f>VLOOKUP(H56,[1]UIFSM!$F:$J,5,FALSE)</f>
        <v>24276</v>
      </c>
    </row>
    <row r="57" spans="1:10" ht="13" x14ac:dyDescent="0.3">
      <c r="A57" s="43" t="s">
        <v>27</v>
      </c>
      <c r="B57" s="44" t="s">
        <v>26</v>
      </c>
      <c r="C57" s="45">
        <f>VLOOKUP(A57,[1]UIFSM!$F:$L,7,FALSE)</f>
        <v>30705</v>
      </c>
      <c r="D57" s="40"/>
      <c r="E57" s="40"/>
      <c r="F57" s="40"/>
      <c r="G57" s="40" t="s">
        <v>64</v>
      </c>
      <c r="H57" s="40" t="s">
        <v>65</v>
      </c>
      <c r="I57" s="40"/>
      <c r="J57" s="40">
        <f>VLOOKUP(H57,[1]UIFSM!$F:$J,5,FALSE)</f>
        <v>97102</v>
      </c>
    </row>
    <row r="58" spans="1:10" ht="13" x14ac:dyDescent="0.3">
      <c r="A58" s="43" t="s">
        <v>143</v>
      </c>
      <c r="B58" s="44" t="s">
        <v>128</v>
      </c>
      <c r="C58" s="45">
        <f>VLOOKUP(A58,[1]UIFSM!$F:$L,7,FALSE)</f>
        <v>842</v>
      </c>
      <c r="D58" s="40"/>
      <c r="E58" s="40"/>
      <c r="F58" s="40"/>
      <c r="G58" s="40"/>
      <c r="H58" s="40"/>
      <c r="I58" s="40"/>
      <c r="J58" s="40"/>
    </row>
    <row r="59" spans="1:10" ht="13" x14ac:dyDescent="0.3">
      <c r="A59" s="43" t="s">
        <v>97</v>
      </c>
      <c r="B59" s="44" t="s">
        <v>96</v>
      </c>
      <c r="C59" s="45">
        <f>VLOOKUP(A59,[1]UIFSM!$F:$L,7,FALSE)</f>
        <v>28322</v>
      </c>
      <c r="D59" s="40"/>
      <c r="E59" s="40"/>
      <c r="F59" s="40"/>
      <c r="G59" s="40"/>
      <c r="H59" s="40"/>
      <c r="I59" s="40"/>
      <c r="J59" s="40"/>
    </row>
    <row r="60" spans="1:10" ht="13" x14ac:dyDescent="0.3">
      <c r="A60" s="43" t="s">
        <v>83</v>
      </c>
      <c r="B60" s="44" t="s">
        <v>82</v>
      </c>
      <c r="C60" s="45">
        <f>VLOOKUP(A60,[1]UIFSM!$F:$L,7,FALSE)</f>
        <v>14161</v>
      </c>
      <c r="D60" s="40"/>
      <c r="E60" s="40"/>
      <c r="F60" s="40"/>
      <c r="G60" s="40"/>
      <c r="H60" s="40"/>
      <c r="I60" s="40"/>
      <c r="J60" s="40"/>
    </row>
    <row r="61" spans="1:10" ht="13" x14ac:dyDescent="0.3">
      <c r="A61" s="43" t="s">
        <v>144</v>
      </c>
      <c r="B61" s="44" t="s">
        <v>132</v>
      </c>
      <c r="C61" s="45">
        <f>VLOOKUP(A61,[1]UIFSM!$F:$L,7,FALSE)</f>
        <v>4347</v>
      </c>
      <c r="D61" s="40"/>
      <c r="E61" s="40"/>
      <c r="F61" s="40"/>
      <c r="G61" s="40"/>
      <c r="H61" s="40"/>
      <c r="I61" s="40"/>
      <c r="J61" s="40"/>
    </row>
    <row r="62" spans="1:10" ht="13" x14ac:dyDescent="0.3">
      <c r="A62" s="43" t="s">
        <v>65</v>
      </c>
      <c r="B62" s="44" t="s">
        <v>64</v>
      </c>
      <c r="C62" s="45">
        <f>VLOOKUP(A62,[1]UIFSM!$F:$L,7,FALSE)</f>
        <v>56643</v>
      </c>
      <c r="D62" s="40"/>
      <c r="E62" s="40"/>
      <c r="F62" s="40"/>
      <c r="G62" s="40"/>
      <c r="H62" s="40"/>
      <c r="I62" s="40"/>
      <c r="J62" s="40"/>
    </row>
    <row r="63" spans="1:10" x14ac:dyDescent="0.25">
      <c r="A63" s="40"/>
      <c r="B63" s="41" t="s">
        <v>145</v>
      </c>
      <c r="C63" s="45">
        <f>SUM(C4:C62)</f>
        <v>1213502</v>
      </c>
      <c r="D63" s="40"/>
      <c r="E63" s="40"/>
      <c r="F63" s="40"/>
      <c r="G63" s="40"/>
      <c r="H63" s="40"/>
      <c r="I63" s="40"/>
      <c r="J63" s="40"/>
    </row>
    <row r="64" spans="1:10" x14ac:dyDescent="0.25">
      <c r="A64" s="41" t="s">
        <v>146</v>
      </c>
      <c r="B64" s="41"/>
      <c r="C64" s="47">
        <f>[1]UIFSM!$L$57</f>
        <v>1213502</v>
      </c>
      <c r="D64" s="40"/>
      <c r="E64" s="40"/>
      <c r="F64" s="40"/>
      <c r="G64" s="40"/>
      <c r="H64" s="40"/>
      <c r="I64" s="40"/>
      <c r="J64" s="40"/>
    </row>
    <row r="65" spans="1:10" x14ac:dyDescent="0.25">
      <c r="A65" s="40"/>
      <c r="B65" s="41"/>
      <c r="C65" s="40"/>
      <c r="D65" s="40"/>
      <c r="E65" s="40"/>
      <c r="F65" s="40"/>
      <c r="G65" s="40"/>
      <c r="H65" s="40"/>
      <c r="I65" s="40"/>
      <c r="J65" s="40"/>
    </row>
    <row r="66" spans="1:10" x14ac:dyDescent="0.25">
      <c r="A66" s="29" t="s">
        <v>147</v>
      </c>
      <c r="C66" s="39">
        <f>C63-C64</f>
        <v>0</v>
      </c>
    </row>
  </sheetData>
  <sheetProtection algorithmName="SHA-512" hashValue="h4Pd+JdPH7DrRwRBZJSjzKqomJS4mtTQNOC9YSs9O3StV8re7MKVwGVSeMv5dL+gMbB0BE/azwuBV4q1PLyTtw==" saltValue="MdV2qB9tpPDImMvlyxfAmA==" spinCount="100000" sheet="1" objects="1" scenarios="1"/>
  <sortState xmlns:xlrd2="http://schemas.microsoft.com/office/spreadsheetml/2017/richdata2" ref="F4:G63">
    <sortCondition ref="F4"/>
  </sortState>
  <conditionalFormatting sqref="B31 B34 B51 B61">
    <cfRule type="expression" dxfId="6" priority="5">
      <formula>#REF!="Academy"</formula>
    </cfRule>
  </conditionalFormatting>
  <conditionalFormatting sqref="B28">
    <cfRule type="expression" dxfId="5" priority="6">
      <formula>#REF!="Academy"</formula>
    </cfRule>
  </conditionalFormatting>
  <conditionalFormatting sqref="B33 B36 B56">
    <cfRule type="expression" dxfId="4" priority="7">
      <formula>#REF!="Academy"</formula>
    </cfRule>
  </conditionalFormatting>
  <conditionalFormatting sqref="B39 B4:B17 B29:B30 B44:B50">
    <cfRule type="expression" dxfId="3" priority="10">
      <formula>#REF!="Academy"</formula>
    </cfRule>
  </conditionalFormatting>
  <conditionalFormatting sqref="B38 B18:B27 B54 B57:B62">
    <cfRule type="expression" dxfId="2" priority="19">
      <formula>#REF!="Academy"</formula>
    </cfRule>
  </conditionalFormatting>
  <conditionalFormatting sqref="B52:B53 B55 B40:B43 B35 B32">
    <cfRule type="expression" dxfId="1" priority="21">
      <formula>#REF!="Academy"</formula>
    </cfRule>
  </conditionalFormatting>
  <conditionalFormatting sqref="B37">
    <cfRule type="expression" dxfId="0" priority="33">
      <formula>#REF!="Academy"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haredContentType xmlns="Microsoft.SharePoint.Taxonomy.ContentTypeSync" SourceId="ee73f336-9c49-41ab-9427-d263034a0100" ContentTypeId="0x01010054A39C6B0182D84CB6645B035BA02E08" PreviousValue="false" LastSyncTimeStamp="2021-10-01T14:39:30.94Z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KC Spreadsheet" ma:contentTypeID="0x01010054A39C6B0182D84CB6645B035BA02E08004D5776253E965C418A13D9DE6F8B1B07" ma:contentTypeVersion="2" ma:contentTypeDescription="MKC Branded Excel Template Document" ma:contentTypeScope="" ma:versionID="95fcba704051a682d16beacac88e07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6D33CE-9BEA-40DD-ABB6-F8724AFC985D}">
  <ds:schemaRefs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303D40-5935-46AE-A4C4-3D93DD0AF9A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9EC788E-4517-4B04-86DB-CADC28955F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D69E3C50-FEC3-47AF-B51E-8A7E613559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DRCR Calc</vt:lpstr>
      <vt:lpstr>Data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Francis, Karen</dc:creator>
  <cp:keywords/>
  <dc:description/>
  <cp:lastModifiedBy>Kayleigh Day</cp:lastModifiedBy>
  <cp:revision/>
  <dcterms:created xsi:type="dcterms:W3CDTF">2016-03-04T14:21:03Z</dcterms:created>
  <dcterms:modified xsi:type="dcterms:W3CDTF">2025-02-24T13:03:56Z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0x01010054A39C6B0182D84CB6645B035BA02E08004D5776253E965C418A13D9DE6F8B1B07</vt:lpwstr>
  </property>
  <property fmtid="{D5CDD505-2E9C-101B-9397-08002B2CF9AE}" pid="3" name="Order">
    <vt:r8>9500</vt:r8>
  </property>
  <property fmtid="{D5CDD505-2E9C-101B-9397-08002B2CF9AE}" pid="4" name="SharedWithUsers">
    <vt:lpwstr>22;#Jennifer Hackett;#20;#Michelle Hibbert</vt:lpwstr>
  </property>
</Properties>
</file>